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blo\Desktop\4 Curso\IA en las Organizaciones\Practicas\Final\SantiAbascalSentiment\Fecha1\"/>
    </mc:Choice>
  </mc:AlternateContent>
  <xr:revisionPtr revIDLastSave="0" documentId="13_ncr:1_{22E71100-1D9C-4F1A-8C52-547A706689E4}" xr6:coauthVersionLast="40" xr6:coauthVersionMax="40" xr10:uidLastSave="{00000000-0000-0000-0000-000000000000}"/>
  <bookViews>
    <workbookView xWindow="0" yWindow="0" windowWidth="23040" windowHeight="8412" xr2:uid="{00000000-000D-0000-FFFF-FFFF00000000}"/>
  </bookViews>
  <sheets>
    <sheet name="&quot;Santi Abascal&quot; langes -filterr" sheetId="4"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785" i="4" l="1"/>
  <c r="E1785" i="4"/>
  <c r="B1785" i="4"/>
  <c r="K1784" i="4"/>
  <c r="E1784" i="4"/>
  <c r="B1784" i="4"/>
  <c r="U1783" i="4"/>
  <c r="K1783" i="4"/>
  <c r="E1783" i="4"/>
  <c r="B1783" i="4"/>
  <c r="U1782" i="4"/>
  <c r="K1782" i="4"/>
  <c r="E1782" i="4"/>
  <c r="B1782" i="4"/>
  <c r="U1781" i="4"/>
  <c r="K1781" i="4"/>
  <c r="E1781" i="4"/>
  <c r="B1781" i="4"/>
  <c r="U1780" i="4"/>
  <c r="K1780" i="4"/>
  <c r="E1780" i="4"/>
  <c r="B1780" i="4"/>
  <c r="U1779" i="4"/>
  <c r="K1779" i="4"/>
  <c r="E1779" i="4"/>
  <c r="B1779" i="4"/>
  <c r="U1778" i="4"/>
  <c r="K1778" i="4"/>
  <c r="E1778" i="4"/>
  <c r="B1778" i="4"/>
  <c r="U1777" i="4"/>
  <c r="K1777" i="4"/>
  <c r="E1777" i="4"/>
  <c r="B1777" i="4"/>
  <c r="U1776" i="4"/>
  <c r="K1776" i="4"/>
  <c r="E1776" i="4"/>
  <c r="B1776" i="4"/>
  <c r="U1775" i="4"/>
  <c r="K1775" i="4"/>
  <c r="E1775" i="4"/>
  <c r="B1775" i="4"/>
  <c r="U1774" i="4"/>
  <c r="K1774" i="4"/>
  <c r="E1774" i="4"/>
  <c r="B1774" i="4"/>
  <c r="U1773" i="4"/>
  <c r="K1773" i="4"/>
  <c r="E1773" i="4"/>
  <c r="B1773" i="4"/>
  <c r="U1772" i="4"/>
  <c r="K1772" i="4"/>
  <c r="E1772" i="4"/>
  <c r="B1772" i="4"/>
  <c r="U1771" i="4"/>
  <c r="K1771" i="4"/>
  <c r="E1771" i="4"/>
  <c r="B1771" i="4"/>
  <c r="U1770" i="4"/>
  <c r="K1770" i="4"/>
  <c r="E1770" i="4"/>
  <c r="B1770" i="4"/>
  <c r="U1769" i="4"/>
  <c r="K1769" i="4"/>
  <c r="E1769" i="4"/>
  <c r="B1769" i="4"/>
  <c r="U1768" i="4"/>
  <c r="K1768" i="4"/>
  <c r="E1768" i="4"/>
  <c r="B1768" i="4"/>
  <c r="U1767" i="4"/>
  <c r="K1767" i="4"/>
  <c r="E1767" i="4"/>
  <c r="B1767" i="4"/>
  <c r="U1766" i="4"/>
  <c r="K1766" i="4"/>
  <c r="E1766" i="4"/>
  <c r="B1766" i="4"/>
  <c r="U1765" i="4"/>
  <c r="K1765" i="4"/>
  <c r="E1765" i="4"/>
  <c r="B1765" i="4"/>
  <c r="U1764" i="4"/>
  <c r="K1764" i="4"/>
  <c r="E1764" i="4"/>
  <c r="B1764" i="4"/>
  <c r="U1763" i="4"/>
  <c r="K1763" i="4"/>
  <c r="E1763" i="4"/>
  <c r="B1763" i="4"/>
  <c r="U1762" i="4"/>
  <c r="K1762" i="4"/>
  <c r="E1762" i="4"/>
  <c r="B1762" i="4"/>
  <c r="U1761" i="4"/>
  <c r="K1761" i="4"/>
  <c r="E1761" i="4"/>
  <c r="B1761" i="4"/>
  <c r="U1760" i="4"/>
  <c r="K1760" i="4"/>
  <c r="E1760" i="4"/>
  <c r="B1760" i="4"/>
  <c r="U1759" i="4"/>
  <c r="K1759" i="4"/>
  <c r="E1759" i="4"/>
  <c r="B1759" i="4"/>
  <c r="U1758" i="4"/>
  <c r="K1758" i="4"/>
  <c r="E1758" i="4"/>
  <c r="B1758" i="4"/>
  <c r="U1757" i="4"/>
  <c r="K1757" i="4"/>
  <c r="E1757" i="4"/>
  <c r="B1757" i="4"/>
  <c r="U1756" i="4"/>
  <c r="K1756" i="4"/>
  <c r="E1756" i="4"/>
  <c r="B1756" i="4"/>
  <c r="U1755" i="4"/>
  <c r="K1755" i="4"/>
  <c r="E1755" i="4"/>
  <c r="B1755" i="4"/>
  <c r="U1754" i="4"/>
  <c r="K1754" i="4"/>
  <c r="E1754" i="4"/>
  <c r="B1754" i="4"/>
  <c r="U1753" i="4"/>
  <c r="K1753" i="4"/>
  <c r="E1753" i="4"/>
  <c r="B1753" i="4"/>
  <c r="U1752" i="4"/>
  <c r="K1752" i="4"/>
  <c r="E1752" i="4"/>
  <c r="B1752" i="4"/>
  <c r="U1751" i="4"/>
  <c r="K1751" i="4"/>
  <c r="E1751" i="4"/>
  <c r="B1751" i="4"/>
  <c r="U1750" i="4"/>
  <c r="K1750" i="4"/>
  <c r="E1750" i="4"/>
  <c r="B1750" i="4"/>
  <c r="U1749" i="4"/>
  <c r="K1749" i="4"/>
  <c r="E1749" i="4"/>
  <c r="B1749" i="4"/>
  <c r="U1748" i="4"/>
  <c r="K1748" i="4"/>
  <c r="E1748" i="4"/>
  <c r="B1748" i="4"/>
  <c r="U1747" i="4"/>
  <c r="K1747" i="4"/>
  <c r="E1747" i="4"/>
  <c r="B1747" i="4"/>
  <c r="U1746" i="4"/>
  <c r="K1746" i="4"/>
  <c r="E1746" i="4"/>
  <c r="B1746" i="4"/>
  <c r="U1745" i="4"/>
  <c r="K1745" i="4"/>
  <c r="E1745" i="4"/>
  <c r="B1745" i="4"/>
  <c r="U1744" i="4"/>
  <c r="K1744" i="4"/>
  <c r="E1744" i="4"/>
  <c r="B1744" i="4"/>
  <c r="U1743" i="4"/>
  <c r="K1743" i="4"/>
  <c r="E1743" i="4"/>
  <c r="B1743" i="4"/>
  <c r="U1742" i="4"/>
  <c r="K1742" i="4"/>
  <c r="E1742" i="4"/>
  <c r="B1742" i="4"/>
  <c r="U1741" i="4"/>
  <c r="K1741" i="4"/>
  <c r="E1741" i="4"/>
  <c r="B1741" i="4"/>
  <c r="U1740" i="4"/>
  <c r="K1740" i="4"/>
  <c r="E1740" i="4"/>
  <c r="B1740" i="4"/>
  <c r="U1739" i="4"/>
  <c r="K1739" i="4"/>
  <c r="E1739" i="4"/>
  <c r="B1739" i="4"/>
  <c r="U1738" i="4"/>
  <c r="K1738" i="4"/>
  <c r="E1738" i="4"/>
  <c r="B1738" i="4"/>
  <c r="U1737" i="4"/>
  <c r="K1737" i="4"/>
  <c r="E1737" i="4"/>
  <c r="B1737" i="4"/>
  <c r="U1736" i="4"/>
  <c r="K1736" i="4"/>
  <c r="E1736" i="4"/>
  <c r="B1736" i="4"/>
  <c r="U1735" i="4"/>
  <c r="K1735" i="4"/>
  <c r="E1735" i="4"/>
  <c r="B1735" i="4"/>
  <c r="U1734" i="4"/>
  <c r="K1734" i="4"/>
  <c r="E1734" i="4"/>
  <c r="B1734" i="4"/>
  <c r="U1733" i="4"/>
  <c r="K1733" i="4"/>
  <c r="E1733" i="4"/>
  <c r="B1733" i="4"/>
  <c r="U1732" i="4"/>
  <c r="K1732" i="4"/>
  <c r="E1732" i="4"/>
  <c r="B1732" i="4"/>
  <c r="U1731" i="4"/>
  <c r="K1731" i="4"/>
  <c r="E1731" i="4"/>
  <c r="B1731" i="4"/>
  <c r="U1730" i="4"/>
  <c r="K1730" i="4"/>
  <c r="E1730" i="4"/>
  <c r="B1730" i="4"/>
  <c r="U1729" i="4"/>
  <c r="K1729" i="4"/>
  <c r="E1729" i="4"/>
  <c r="B1729" i="4"/>
  <c r="U1728" i="4"/>
  <c r="K1728" i="4"/>
  <c r="E1728" i="4"/>
  <c r="B1728" i="4"/>
  <c r="U1727" i="4"/>
  <c r="K1727" i="4"/>
  <c r="E1727" i="4"/>
  <c r="B1727" i="4"/>
  <c r="U1726" i="4"/>
  <c r="K1726" i="4"/>
  <c r="E1726" i="4"/>
  <c r="B1726" i="4"/>
  <c r="U1725" i="4"/>
  <c r="K1725" i="4"/>
  <c r="E1725" i="4"/>
  <c r="B1725" i="4"/>
  <c r="U1724" i="4"/>
  <c r="K1724" i="4"/>
  <c r="E1724" i="4"/>
  <c r="B1724" i="4"/>
  <c r="U1723" i="4"/>
  <c r="K1723" i="4"/>
  <c r="E1723" i="4"/>
  <c r="B1723" i="4"/>
  <c r="U1722" i="4"/>
  <c r="K1722" i="4"/>
  <c r="E1722" i="4"/>
  <c r="B1722" i="4"/>
  <c r="U1721" i="4"/>
  <c r="K1721" i="4"/>
  <c r="E1721" i="4"/>
  <c r="B1721" i="4"/>
  <c r="U1720" i="4"/>
  <c r="K1720" i="4"/>
  <c r="E1720" i="4"/>
  <c r="B1720" i="4"/>
  <c r="U1719" i="4"/>
  <c r="K1719" i="4"/>
  <c r="E1719" i="4"/>
  <c r="B1719" i="4"/>
  <c r="U1718" i="4"/>
  <c r="K1718" i="4"/>
  <c r="E1718" i="4"/>
  <c r="B1718" i="4"/>
  <c r="U1717" i="4"/>
  <c r="K1717" i="4"/>
  <c r="E1717" i="4"/>
  <c r="B1717" i="4"/>
  <c r="U1716" i="4"/>
  <c r="K1716" i="4"/>
  <c r="E1716" i="4"/>
  <c r="B1716" i="4"/>
  <c r="U1715" i="4"/>
  <c r="K1715" i="4"/>
  <c r="E1715" i="4"/>
  <c r="B1715" i="4"/>
  <c r="U1714" i="4"/>
  <c r="K1714" i="4"/>
  <c r="E1714" i="4"/>
  <c r="B1714" i="4"/>
  <c r="U1713" i="4"/>
  <c r="K1713" i="4"/>
  <c r="E1713" i="4"/>
  <c r="B1713" i="4"/>
  <c r="U1712" i="4"/>
  <c r="K1712" i="4"/>
  <c r="E1712" i="4"/>
  <c r="B1712" i="4"/>
  <c r="U1711" i="4"/>
  <c r="K1711" i="4"/>
  <c r="E1711" i="4"/>
  <c r="B1711" i="4"/>
  <c r="U1710" i="4"/>
  <c r="K1710" i="4"/>
  <c r="E1710" i="4"/>
  <c r="B1710" i="4"/>
  <c r="U1709" i="4"/>
  <c r="K1709" i="4"/>
  <c r="E1709" i="4"/>
  <c r="B1709" i="4"/>
  <c r="U1708" i="4"/>
  <c r="K1708" i="4"/>
  <c r="E1708" i="4"/>
  <c r="B1708" i="4"/>
  <c r="U1707" i="4"/>
  <c r="K1707" i="4"/>
  <c r="E1707" i="4"/>
  <c r="B1707" i="4"/>
  <c r="U1706" i="4"/>
  <c r="K1706" i="4"/>
  <c r="E1706" i="4"/>
  <c r="B1706" i="4"/>
  <c r="U1705" i="4"/>
  <c r="K1705" i="4"/>
  <c r="E1705" i="4"/>
  <c r="B1705" i="4"/>
  <c r="U1704" i="4"/>
  <c r="K1704" i="4"/>
  <c r="E1704" i="4"/>
  <c r="B1704" i="4"/>
  <c r="U1703" i="4"/>
  <c r="K1703" i="4"/>
  <c r="E1703" i="4"/>
  <c r="B1703" i="4"/>
  <c r="U1702" i="4"/>
  <c r="K1702" i="4"/>
  <c r="E1702" i="4"/>
  <c r="B1702" i="4"/>
  <c r="U1701" i="4"/>
  <c r="K1701" i="4"/>
  <c r="E1701" i="4"/>
  <c r="B1701" i="4"/>
  <c r="U1700" i="4"/>
  <c r="K1700" i="4"/>
  <c r="E1700" i="4"/>
  <c r="B1700" i="4"/>
  <c r="U1699" i="4"/>
  <c r="K1699" i="4"/>
  <c r="E1699" i="4"/>
  <c r="B1699" i="4"/>
  <c r="U1698" i="4"/>
  <c r="K1698" i="4"/>
  <c r="E1698" i="4"/>
  <c r="B1698" i="4"/>
  <c r="U1697" i="4"/>
  <c r="K1697" i="4"/>
  <c r="E1697" i="4"/>
  <c r="B1697" i="4"/>
  <c r="U1696" i="4"/>
  <c r="K1696" i="4"/>
  <c r="E1696" i="4"/>
  <c r="B1696" i="4"/>
  <c r="U1695" i="4"/>
  <c r="K1695" i="4"/>
  <c r="E1695" i="4"/>
  <c r="B1695" i="4"/>
  <c r="U1694" i="4"/>
  <c r="K1694" i="4"/>
  <c r="E1694" i="4"/>
  <c r="B1694" i="4"/>
  <c r="U1693" i="4"/>
  <c r="K1693" i="4"/>
  <c r="E1693" i="4"/>
  <c r="B1693" i="4"/>
  <c r="U1692" i="4"/>
  <c r="K1692" i="4"/>
  <c r="E1692" i="4"/>
  <c r="B1692" i="4"/>
  <c r="U1691" i="4"/>
  <c r="K1691" i="4"/>
  <c r="E1691" i="4"/>
  <c r="B1691" i="4"/>
  <c r="U1690" i="4"/>
  <c r="K1690" i="4"/>
  <c r="E1690" i="4"/>
  <c r="B1690" i="4"/>
  <c r="U1689" i="4"/>
  <c r="K1689" i="4"/>
  <c r="E1689" i="4"/>
  <c r="B1689" i="4"/>
  <c r="U1688" i="4"/>
  <c r="K1688" i="4"/>
  <c r="E1688" i="4"/>
  <c r="B1688" i="4"/>
  <c r="U1687" i="4"/>
  <c r="K1687" i="4"/>
  <c r="E1687" i="4"/>
  <c r="B1687" i="4"/>
  <c r="U1686" i="4"/>
  <c r="K1686" i="4"/>
  <c r="E1686" i="4"/>
  <c r="B1686" i="4"/>
  <c r="U1685" i="4"/>
  <c r="K1685" i="4"/>
  <c r="E1685" i="4"/>
  <c r="B1685" i="4"/>
  <c r="U1684" i="4"/>
  <c r="K1684" i="4"/>
  <c r="E1684" i="4"/>
  <c r="B1684" i="4"/>
  <c r="U1683" i="4"/>
  <c r="K1683" i="4"/>
  <c r="E1683" i="4"/>
  <c r="B1683" i="4"/>
  <c r="U1682" i="4"/>
  <c r="K1682" i="4"/>
  <c r="E1682" i="4"/>
  <c r="B1682" i="4"/>
  <c r="U1681" i="4"/>
  <c r="K1681" i="4"/>
  <c r="E1681" i="4"/>
  <c r="B1681" i="4"/>
  <c r="U1680" i="4"/>
  <c r="K1680" i="4"/>
  <c r="E1680" i="4"/>
  <c r="B1680" i="4"/>
  <c r="U1679" i="4"/>
  <c r="K1679" i="4"/>
  <c r="E1679" i="4"/>
  <c r="B1679" i="4"/>
  <c r="U1678" i="4"/>
  <c r="K1678" i="4"/>
  <c r="E1678" i="4"/>
  <c r="B1678" i="4"/>
  <c r="U1677" i="4"/>
  <c r="K1677" i="4"/>
  <c r="E1677" i="4"/>
  <c r="B1677" i="4"/>
  <c r="U1676" i="4"/>
  <c r="K1676" i="4"/>
  <c r="E1676" i="4"/>
  <c r="B1676" i="4"/>
  <c r="U1675" i="4"/>
  <c r="K1675" i="4"/>
  <c r="E1675" i="4"/>
  <c r="B1675" i="4"/>
  <c r="U1674" i="4"/>
  <c r="K1674" i="4"/>
  <c r="E1674" i="4"/>
  <c r="B1674" i="4"/>
  <c r="U1673" i="4"/>
  <c r="K1673" i="4"/>
  <c r="E1673" i="4"/>
  <c r="B1673" i="4"/>
  <c r="U1672" i="4"/>
  <c r="K1672" i="4"/>
  <c r="E1672" i="4"/>
  <c r="B1672" i="4"/>
  <c r="U1671" i="4"/>
  <c r="K1671" i="4"/>
  <c r="E1671" i="4"/>
  <c r="B1671" i="4"/>
  <c r="U1670" i="4"/>
  <c r="K1670" i="4"/>
  <c r="E1670" i="4"/>
  <c r="B1670" i="4"/>
  <c r="U1669" i="4"/>
  <c r="K1669" i="4"/>
  <c r="E1669" i="4"/>
  <c r="B1669" i="4"/>
  <c r="U1668" i="4"/>
  <c r="K1668" i="4"/>
  <c r="E1668" i="4"/>
  <c r="B1668" i="4"/>
  <c r="U1667" i="4"/>
  <c r="K1667" i="4"/>
  <c r="E1667" i="4"/>
  <c r="B1667" i="4"/>
  <c r="U1666" i="4"/>
  <c r="K1666" i="4"/>
  <c r="E1666" i="4"/>
  <c r="B1666" i="4"/>
  <c r="U1665" i="4"/>
  <c r="K1665" i="4"/>
  <c r="E1665" i="4"/>
  <c r="B1665" i="4"/>
  <c r="U1664" i="4"/>
  <c r="K1664" i="4"/>
  <c r="E1664" i="4"/>
  <c r="B1664" i="4"/>
  <c r="U1663" i="4"/>
  <c r="K1663" i="4"/>
  <c r="E1663" i="4"/>
  <c r="B1663" i="4"/>
  <c r="U1662" i="4"/>
  <c r="K1662" i="4"/>
  <c r="E1662" i="4"/>
  <c r="B1662" i="4"/>
  <c r="U1661" i="4"/>
  <c r="K1661" i="4"/>
  <c r="E1661" i="4"/>
  <c r="B1661" i="4"/>
  <c r="U1660" i="4"/>
  <c r="K1660" i="4"/>
  <c r="E1660" i="4"/>
  <c r="B1660" i="4"/>
  <c r="U1659" i="4"/>
  <c r="K1659" i="4"/>
  <c r="E1659" i="4"/>
  <c r="B1659" i="4"/>
  <c r="U1658" i="4"/>
  <c r="K1658" i="4"/>
  <c r="E1658" i="4"/>
  <c r="B1658" i="4"/>
  <c r="U1657" i="4"/>
  <c r="K1657" i="4"/>
  <c r="E1657" i="4"/>
  <c r="B1657" i="4"/>
  <c r="U1656" i="4"/>
  <c r="K1656" i="4"/>
  <c r="E1656" i="4"/>
  <c r="B1656" i="4"/>
  <c r="U1655" i="4"/>
  <c r="K1655" i="4"/>
  <c r="E1655" i="4"/>
  <c r="B1655" i="4"/>
  <c r="U1654" i="4"/>
  <c r="K1654" i="4"/>
  <c r="E1654" i="4"/>
  <c r="B1654" i="4"/>
  <c r="U1653" i="4"/>
  <c r="K1653" i="4"/>
  <c r="E1653" i="4"/>
  <c r="B1653" i="4"/>
  <c r="U1652" i="4"/>
  <c r="K1652" i="4"/>
  <c r="E1652" i="4"/>
  <c r="B1652" i="4"/>
  <c r="U1651" i="4"/>
  <c r="K1651" i="4"/>
  <c r="E1651" i="4"/>
  <c r="B1651" i="4"/>
  <c r="U1650" i="4"/>
  <c r="K1650" i="4"/>
  <c r="E1650" i="4"/>
  <c r="B1650" i="4"/>
  <c r="U1649" i="4"/>
  <c r="K1649" i="4"/>
  <c r="E1649" i="4"/>
  <c r="B1649" i="4"/>
  <c r="U1648" i="4"/>
  <c r="K1648" i="4"/>
  <c r="E1648" i="4"/>
  <c r="B1648" i="4"/>
  <c r="U1647" i="4"/>
  <c r="K1647" i="4"/>
  <c r="E1647" i="4"/>
  <c r="B1647" i="4"/>
  <c r="U1646" i="4"/>
  <c r="K1646" i="4"/>
  <c r="E1646" i="4"/>
  <c r="B1646" i="4"/>
  <c r="U1645" i="4"/>
  <c r="K1645" i="4"/>
  <c r="E1645" i="4"/>
  <c r="B1645" i="4"/>
  <c r="U1644" i="4"/>
  <c r="K1644" i="4"/>
  <c r="E1644" i="4"/>
  <c r="B1644" i="4"/>
  <c r="U1643" i="4"/>
  <c r="K1643" i="4"/>
  <c r="E1643" i="4"/>
  <c r="B1643" i="4"/>
  <c r="U1642" i="4"/>
  <c r="K1642" i="4"/>
  <c r="E1642" i="4"/>
  <c r="B1642" i="4"/>
  <c r="U1641" i="4"/>
  <c r="K1641" i="4"/>
  <c r="E1641" i="4"/>
  <c r="B1641" i="4"/>
  <c r="U1640" i="4"/>
  <c r="K1640" i="4"/>
  <c r="E1640" i="4"/>
  <c r="B1640" i="4"/>
  <c r="U1639" i="4"/>
  <c r="K1639" i="4"/>
  <c r="E1639" i="4"/>
  <c r="B1639" i="4"/>
  <c r="U1638" i="4"/>
  <c r="K1638" i="4"/>
  <c r="E1638" i="4"/>
  <c r="B1638" i="4"/>
  <c r="U1637" i="4"/>
  <c r="K1637" i="4"/>
  <c r="E1637" i="4"/>
  <c r="B1637" i="4"/>
  <c r="U1636" i="4"/>
  <c r="K1636" i="4"/>
  <c r="E1636" i="4"/>
  <c r="B1636" i="4"/>
  <c r="U1635" i="4"/>
  <c r="K1635" i="4"/>
  <c r="E1635" i="4"/>
  <c r="B1635" i="4"/>
  <c r="U1634" i="4"/>
  <c r="K1634" i="4"/>
  <c r="E1634" i="4"/>
  <c r="B1634" i="4"/>
  <c r="U1633" i="4"/>
  <c r="K1633" i="4"/>
  <c r="E1633" i="4"/>
  <c r="B1633" i="4"/>
  <c r="U1632" i="4"/>
  <c r="K1632" i="4"/>
  <c r="E1632" i="4"/>
  <c r="B1632" i="4"/>
  <c r="U1631" i="4"/>
  <c r="K1631" i="4"/>
  <c r="E1631" i="4"/>
  <c r="B1631" i="4"/>
  <c r="U1630" i="4"/>
  <c r="K1630" i="4"/>
  <c r="E1630" i="4"/>
  <c r="B1630" i="4"/>
  <c r="U1629" i="4"/>
  <c r="K1629" i="4"/>
  <c r="E1629" i="4"/>
  <c r="B1629" i="4"/>
  <c r="U1628" i="4"/>
  <c r="K1628" i="4"/>
  <c r="E1628" i="4"/>
  <c r="B1628" i="4"/>
  <c r="U1627" i="4"/>
  <c r="K1627" i="4"/>
  <c r="E1627" i="4"/>
  <c r="B1627" i="4"/>
  <c r="U1626" i="4"/>
  <c r="K1626" i="4"/>
  <c r="E1626" i="4"/>
  <c r="B1626" i="4"/>
  <c r="U1625" i="4"/>
  <c r="K1625" i="4"/>
  <c r="E1625" i="4"/>
  <c r="B1625" i="4"/>
  <c r="U1624" i="4"/>
  <c r="K1624" i="4"/>
  <c r="E1624" i="4"/>
  <c r="B1624" i="4"/>
  <c r="U1623" i="4"/>
  <c r="K1623" i="4"/>
  <c r="E1623" i="4"/>
  <c r="B1623" i="4"/>
  <c r="U1622" i="4"/>
  <c r="K1622" i="4"/>
  <c r="E1622" i="4"/>
  <c r="B1622" i="4"/>
  <c r="U1621" i="4"/>
  <c r="K1621" i="4"/>
  <c r="E1621" i="4"/>
  <c r="B1621" i="4"/>
  <c r="U1620" i="4"/>
  <c r="K1620" i="4"/>
  <c r="E1620" i="4"/>
  <c r="B1620" i="4"/>
  <c r="U1619" i="4"/>
  <c r="K1619" i="4"/>
  <c r="E1619" i="4"/>
  <c r="B1619" i="4"/>
  <c r="U1618" i="4"/>
  <c r="K1618" i="4"/>
  <c r="E1618" i="4"/>
  <c r="B1618" i="4"/>
  <c r="U1617" i="4"/>
  <c r="K1617" i="4"/>
  <c r="E1617" i="4"/>
  <c r="B1617" i="4"/>
  <c r="U1616" i="4"/>
  <c r="K1616" i="4"/>
  <c r="E1616" i="4"/>
  <c r="B1616" i="4"/>
  <c r="U1615" i="4"/>
  <c r="K1615" i="4"/>
  <c r="E1615" i="4"/>
  <c r="B1615" i="4"/>
  <c r="U1614" i="4"/>
  <c r="K1614" i="4"/>
  <c r="E1614" i="4"/>
  <c r="B1614" i="4"/>
  <c r="U1613" i="4"/>
  <c r="K1613" i="4"/>
  <c r="E1613" i="4"/>
  <c r="B1613" i="4"/>
  <c r="U1612" i="4"/>
  <c r="K1612" i="4"/>
  <c r="E1612" i="4"/>
  <c r="B1612" i="4"/>
  <c r="U1611" i="4"/>
  <c r="K1611" i="4"/>
  <c r="E1611" i="4"/>
  <c r="B1611" i="4"/>
  <c r="U1610" i="4"/>
  <c r="K1610" i="4"/>
  <c r="E1610" i="4"/>
  <c r="B1610" i="4"/>
  <c r="U1609" i="4"/>
  <c r="K1609" i="4"/>
  <c r="E1609" i="4"/>
  <c r="B1609" i="4"/>
  <c r="U1608" i="4"/>
  <c r="K1608" i="4"/>
  <c r="E1608" i="4"/>
  <c r="B1608" i="4"/>
  <c r="U1607" i="4"/>
  <c r="K1607" i="4"/>
  <c r="E1607" i="4"/>
  <c r="B1607" i="4"/>
  <c r="U1606" i="4"/>
  <c r="K1606" i="4"/>
  <c r="E1606" i="4"/>
  <c r="B1606" i="4"/>
  <c r="U1605" i="4"/>
  <c r="K1605" i="4"/>
  <c r="E1605" i="4"/>
  <c r="B1605" i="4"/>
  <c r="U1604" i="4"/>
  <c r="K1604" i="4"/>
  <c r="H1604" i="4"/>
  <c r="E1604" i="4"/>
  <c r="B1604" i="4"/>
  <c r="U1603" i="4"/>
  <c r="K1603" i="4"/>
  <c r="E1603" i="4"/>
  <c r="B1603" i="4"/>
  <c r="U1602" i="4"/>
  <c r="K1602" i="4"/>
  <c r="E1602" i="4"/>
  <c r="B1602" i="4"/>
  <c r="U1601" i="4"/>
  <c r="K1601" i="4"/>
  <c r="E1601" i="4"/>
  <c r="B1601" i="4"/>
  <c r="U1600" i="4"/>
  <c r="K1600" i="4"/>
  <c r="E1600" i="4"/>
  <c r="B1600" i="4"/>
  <c r="U1599" i="4"/>
  <c r="K1599" i="4"/>
  <c r="E1599" i="4"/>
  <c r="B1599" i="4"/>
  <c r="U1598" i="4"/>
  <c r="K1598" i="4"/>
  <c r="E1598" i="4"/>
  <c r="B1598" i="4"/>
  <c r="U1597" i="4"/>
  <c r="K1597" i="4"/>
  <c r="E1597" i="4"/>
  <c r="B1597" i="4"/>
  <c r="U1596" i="4"/>
  <c r="K1596" i="4"/>
  <c r="E1596" i="4"/>
  <c r="B1596" i="4"/>
  <c r="U1595" i="4"/>
  <c r="K1595" i="4"/>
  <c r="E1595" i="4"/>
  <c r="B1595" i="4"/>
  <c r="U1594" i="4"/>
  <c r="K1594" i="4"/>
  <c r="E1594" i="4"/>
  <c r="B1594" i="4"/>
  <c r="U1593" i="4"/>
  <c r="K1593" i="4"/>
  <c r="E1593" i="4"/>
  <c r="B1593" i="4"/>
  <c r="U1592" i="4"/>
  <c r="K1592" i="4"/>
  <c r="E1592" i="4"/>
  <c r="B1592" i="4"/>
  <c r="U1591" i="4"/>
  <c r="K1591" i="4"/>
  <c r="E1591" i="4"/>
  <c r="B1591" i="4"/>
  <c r="U1590" i="4"/>
  <c r="K1590" i="4"/>
  <c r="E1590" i="4"/>
  <c r="B1590" i="4"/>
  <c r="U1589" i="4"/>
  <c r="K1589" i="4"/>
  <c r="E1589" i="4"/>
  <c r="B1589" i="4"/>
  <c r="U1588" i="4"/>
  <c r="K1588" i="4"/>
  <c r="E1588" i="4"/>
  <c r="B1588" i="4"/>
  <c r="U1587" i="4"/>
  <c r="K1587" i="4"/>
  <c r="E1587" i="4"/>
  <c r="B1587" i="4"/>
  <c r="U1586" i="4"/>
  <c r="K1586" i="4"/>
  <c r="E1586" i="4"/>
  <c r="B1586" i="4"/>
  <c r="U1585" i="4"/>
  <c r="K1585" i="4"/>
  <c r="E1585" i="4"/>
  <c r="B1585" i="4"/>
  <c r="U1584" i="4"/>
  <c r="K1584" i="4"/>
  <c r="E1584" i="4"/>
  <c r="B1584" i="4"/>
  <c r="U1583" i="4"/>
  <c r="K1583" i="4"/>
  <c r="E1583" i="4"/>
  <c r="B1583" i="4"/>
  <c r="U1582" i="4"/>
  <c r="K1582" i="4"/>
  <c r="E1582" i="4"/>
  <c r="B1582" i="4"/>
  <c r="U1581" i="4"/>
  <c r="K1581" i="4"/>
  <c r="E1581" i="4"/>
  <c r="B1581" i="4"/>
  <c r="U1580" i="4"/>
  <c r="K1580" i="4"/>
  <c r="E1580" i="4"/>
  <c r="B1580" i="4"/>
  <c r="U1579" i="4"/>
  <c r="K1579" i="4"/>
  <c r="E1579" i="4"/>
  <c r="B1579" i="4"/>
  <c r="U1578" i="4"/>
  <c r="K1578" i="4"/>
  <c r="E1578" i="4"/>
  <c r="B1578" i="4"/>
  <c r="U1577" i="4"/>
  <c r="K1577" i="4"/>
  <c r="E1577" i="4"/>
  <c r="B1577" i="4"/>
  <c r="U1576" i="4"/>
  <c r="K1576" i="4"/>
  <c r="E1576" i="4"/>
  <c r="B1576" i="4"/>
  <c r="U1575" i="4"/>
  <c r="K1575" i="4"/>
  <c r="E1575" i="4"/>
  <c r="B1575" i="4"/>
  <c r="U1574" i="4"/>
  <c r="K1574" i="4"/>
  <c r="E1574" i="4"/>
  <c r="B1574" i="4"/>
  <c r="U1573" i="4"/>
  <c r="K1573" i="4"/>
  <c r="E1573" i="4"/>
  <c r="B1573" i="4"/>
  <c r="U1572" i="4"/>
  <c r="K1572" i="4"/>
  <c r="E1572" i="4"/>
  <c r="B1572" i="4"/>
  <c r="U1571" i="4"/>
  <c r="K1571" i="4"/>
  <c r="E1571" i="4"/>
  <c r="B1571" i="4"/>
  <c r="U1570" i="4"/>
  <c r="K1570" i="4"/>
  <c r="E1570" i="4"/>
  <c r="B1570" i="4"/>
  <c r="U1569" i="4"/>
  <c r="K1569" i="4"/>
  <c r="E1569" i="4"/>
  <c r="B1569" i="4"/>
  <c r="U1568" i="4"/>
  <c r="K1568" i="4"/>
  <c r="E1568" i="4"/>
  <c r="B1568" i="4"/>
  <c r="U1567" i="4"/>
  <c r="K1567" i="4"/>
  <c r="E1567" i="4"/>
  <c r="B1567" i="4"/>
  <c r="U1566" i="4"/>
  <c r="K1566" i="4"/>
  <c r="E1566" i="4"/>
  <c r="B1566" i="4"/>
  <c r="U1565" i="4"/>
  <c r="K1565" i="4"/>
  <c r="E1565" i="4"/>
  <c r="B1565" i="4"/>
  <c r="U1564" i="4"/>
  <c r="K1564" i="4"/>
  <c r="E1564" i="4"/>
  <c r="B1564" i="4"/>
  <c r="U1563" i="4"/>
  <c r="K1563" i="4"/>
  <c r="E1563" i="4"/>
  <c r="B1563" i="4"/>
  <c r="U1562" i="4"/>
  <c r="K1562" i="4"/>
  <c r="E1562" i="4"/>
  <c r="B1562" i="4"/>
  <c r="U1561" i="4"/>
  <c r="K1561" i="4"/>
  <c r="E1561" i="4"/>
  <c r="B1561" i="4"/>
  <c r="U1560" i="4"/>
  <c r="K1560" i="4"/>
  <c r="E1560" i="4"/>
  <c r="B1560" i="4"/>
  <c r="U1559" i="4"/>
  <c r="K1559" i="4"/>
  <c r="E1559" i="4"/>
  <c r="B1559" i="4"/>
  <c r="U1558" i="4"/>
  <c r="K1558" i="4"/>
  <c r="E1558" i="4"/>
  <c r="B1558" i="4"/>
  <c r="U1557" i="4"/>
  <c r="K1557" i="4"/>
  <c r="E1557" i="4"/>
  <c r="B1557" i="4"/>
  <c r="U1556" i="4"/>
  <c r="K1556" i="4"/>
  <c r="E1556" i="4"/>
  <c r="B1556" i="4"/>
  <c r="U1555" i="4"/>
  <c r="K1555" i="4"/>
  <c r="E1555" i="4"/>
  <c r="B1555" i="4"/>
  <c r="U1554" i="4"/>
  <c r="K1554" i="4"/>
  <c r="E1554" i="4"/>
  <c r="B1554" i="4"/>
  <c r="U1553" i="4"/>
  <c r="K1553" i="4"/>
  <c r="E1553" i="4"/>
  <c r="B1553" i="4"/>
  <c r="U1552" i="4"/>
  <c r="K1552" i="4"/>
  <c r="E1552" i="4"/>
  <c r="B1552" i="4"/>
  <c r="U1551" i="4"/>
  <c r="K1551" i="4"/>
  <c r="E1551" i="4"/>
  <c r="B1551" i="4"/>
  <c r="U1550" i="4"/>
  <c r="K1550" i="4"/>
  <c r="E1550" i="4"/>
  <c r="B1550" i="4"/>
  <c r="U1549" i="4"/>
  <c r="K1549" i="4"/>
  <c r="E1549" i="4"/>
  <c r="B1549" i="4"/>
  <c r="U1548" i="4"/>
  <c r="K1548" i="4"/>
  <c r="E1548" i="4"/>
  <c r="B1548" i="4"/>
  <c r="U1547" i="4"/>
  <c r="K1547" i="4"/>
  <c r="E1547" i="4"/>
  <c r="B1547" i="4"/>
  <c r="U1546" i="4"/>
  <c r="K1546" i="4"/>
  <c r="E1546" i="4"/>
  <c r="B1546" i="4"/>
  <c r="U1545" i="4"/>
  <c r="K1545" i="4"/>
  <c r="E1545" i="4"/>
  <c r="B1545" i="4"/>
  <c r="U1544" i="4"/>
  <c r="K1544" i="4"/>
  <c r="E1544" i="4"/>
  <c r="B1544" i="4"/>
  <c r="U1543" i="4"/>
  <c r="K1543" i="4"/>
  <c r="E1543" i="4"/>
  <c r="B1543" i="4"/>
  <c r="U1542" i="4"/>
  <c r="K1542" i="4"/>
  <c r="E1542" i="4"/>
  <c r="B1542" i="4"/>
  <c r="U1541" i="4"/>
  <c r="K1541" i="4"/>
  <c r="E1541" i="4"/>
  <c r="B1541" i="4"/>
  <c r="U1540" i="4"/>
  <c r="K1540" i="4"/>
  <c r="E1540" i="4"/>
  <c r="B1540" i="4"/>
  <c r="U1539" i="4"/>
  <c r="K1539" i="4"/>
  <c r="E1539" i="4"/>
  <c r="B1539" i="4"/>
  <c r="U1538" i="4"/>
  <c r="K1538" i="4"/>
  <c r="E1538" i="4"/>
  <c r="B1538" i="4"/>
  <c r="U1537" i="4"/>
  <c r="K1537" i="4"/>
  <c r="E1537" i="4"/>
  <c r="B1537" i="4"/>
  <c r="U1536" i="4"/>
  <c r="K1536" i="4"/>
  <c r="E1536" i="4"/>
  <c r="B1536" i="4"/>
  <c r="U1535" i="4"/>
  <c r="K1535" i="4"/>
  <c r="E1535" i="4"/>
  <c r="B1535" i="4"/>
  <c r="U1534" i="4"/>
  <c r="K1534" i="4"/>
  <c r="E1534" i="4"/>
  <c r="B1534" i="4"/>
  <c r="U1533" i="4"/>
  <c r="K1533" i="4"/>
  <c r="E1533" i="4"/>
  <c r="B1533" i="4"/>
  <c r="U1532" i="4"/>
  <c r="K1532" i="4"/>
  <c r="E1532" i="4"/>
  <c r="B1532" i="4"/>
  <c r="U1531" i="4"/>
  <c r="K1531" i="4"/>
  <c r="E1531" i="4"/>
  <c r="B1531" i="4"/>
  <c r="U1530" i="4"/>
  <c r="K1530" i="4"/>
  <c r="E1530" i="4"/>
  <c r="B1530" i="4"/>
  <c r="U1529" i="4"/>
  <c r="K1529" i="4"/>
  <c r="E1529" i="4"/>
  <c r="B1529" i="4"/>
  <c r="U1528" i="4"/>
  <c r="K1528" i="4"/>
  <c r="E1528" i="4"/>
  <c r="B1528" i="4"/>
  <c r="U1527" i="4"/>
  <c r="K1527" i="4"/>
  <c r="E1527" i="4"/>
  <c r="B1527" i="4"/>
  <c r="U1526" i="4"/>
  <c r="K1526" i="4"/>
  <c r="E1526" i="4"/>
  <c r="B1526" i="4"/>
  <c r="U1525" i="4"/>
  <c r="K1525" i="4"/>
  <c r="E1525" i="4"/>
  <c r="B1525" i="4"/>
  <c r="U1524" i="4"/>
  <c r="K1524" i="4"/>
  <c r="E1524" i="4"/>
  <c r="B1524" i="4"/>
  <c r="U1523" i="4"/>
  <c r="K1523" i="4"/>
  <c r="E1523" i="4"/>
  <c r="B1523" i="4"/>
  <c r="U1522" i="4"/>
  <c r="K1522" i="4"/>
  <c r="E1522" i="4"/>
  <c r="B1522" i="4"/>
  <c r="U1521" i="4"/>
  <c r="K1521" i="4"/>
  <c r="E1521" i="4"/>
  <c r="B1521" i="4"/>
  <c r="U1520" i="4"/>
  <c r="K1520" i="4"/>
  <c r="E1520" i="4"/>
  <c r="B1520" i="4"/>
  <c r="U1519" i="4"/>
  <c r="K1519" i="4"/>
  <c r="E1519" i="4"/>
  <c r="B1519" i="4"/>
  <c r="U1518" i="4"/>
  <c r="K1518" i="4"/>
  <c r="E1518" i="4"/>
  <c r="B1518" i="4"/>
  <c r="U1517" i="4"/>
  <c r="K1517" i="4"/>
  <c r="E1517" i="4"/>
  <c r="B1517" i="4"/>
  <c r="U1516" i="4"/>
  <c r="K1516" i="4"/>
  <c r="E1516" i="4"/>
  <c r="B1516" i="4"/>
  <c r="U1515" i="4"/>
  <c r="K1515" i="4"/>
  <c r="E1515" i="4"/>
  <c r="B1515" i="4"/>
  <c r="U1514" i="4"/>
  <c r="K1514" i="4"/>
  <c r="E1514" i="4"/>
  <c r="B1514" i="4"/>
  <c r="U1513" i="4"/>
  <c r="K1513" i="4"/>
  <c r="E1513" i="4"/>
  <c r="B1513" i="4"/>
  <c r="U1512" i="4"/>
  <c r="K1512" i="4"/>
  <c r="E1512" i="4"/>
  <c r="B1512" i="4"/>
  <c r="U1511" i="4"/>
  <c r="K1511" i="4"/>
  <c r="E1511" i="4"/>
  <c r="B1511" i="4"/>
  <c r="U1510" i="4"/>
  <c r="K1510" i="4"/>
  <c r="E1510" i="4"/>
  <c r="B1510" i="4"/>
  <c r="U1509" i="4"/>
  <c r="K1509" i="4"/>
  <c r="E1509" i="4"/>
  <c r="B1509" i="4"/>
  <c r="U1508" i="4"/>
  <c r="K1508" i="4"/>
  <c r="E1508" i="4"/>
  <c r="B1508" i="4"/>
  <c r="U1507" i="4"/>
  <c r="K1507" i="4"/>
  <c r="E1507" i="4"/>
  <c r="B1507" i="4"/>
  <c r="U1506" i="4"/>
  <c r="K1506" i="4"/>
  <c r="E1506" i="4"/>
  <c r="B1506" i="4"/>
  <c r="U1505" i="4"/>
  <c r="K1505" i="4"/>
  <c r="E1505" i="4"/>
  <c r="B1505" i="4"/>
  <c r="U1504" i="4"/>
  <c r="K1504" i="4"/>
  <c r="E1504" i="4"/>
  <c r="B1504" i="4"/>
  <c r="U1503" i="4"/>
  <c r="K1503" i="4"/>
  <c r="E1503" i="4"/>
  <c r="B1503" i="4"/>
  <c r="U1502" i="4"/>
  <c r="K1502" i="4"/>
  <c r="E1502" i="4"/>
  <c r="B1502" i="4"/>
  <c r="U1501" i="4"/>
  <c r="K1501" i="4"/>
  <c r="E1501" i="4"/>
  <c r="B1501" i="4"/>
  <c r="U1500" i="4"/>
  <c r="K1500" i="4"/>
  <c r="E1500" i="4"/>
  <c r="B1500" i="4"/>
  <c r="U1499" i="4"/>
  <c r="K1499" i="4"/>
  <c r="E1499" i="4"/>
  <c r="B1499" i="4"/>
  <c r="U1498" i="4"/>
  <c r="K1498" i="4"/>
  <c r="E1498" i="4"/>
  <c r="B1498" i="4"/>
  <c r="U1497" i="4"/>
  <c r="K1497" i="4"/>
  <c r="E1497" i="4"/>
  <c r="B1497" i="4"/>
  <c r="U1496" i="4"/>
  <c r="K1496" i="4"/>
  <c r="E1496" i="4"/>
  <c r="B1496" i="4"/>
  <c r="U1495" i="4"/>
  <c r="K1495" i="4"/>
  <c r="E1495" i="4"/>
  <c r="B1495" i="4"/>
  <c r="U1494" i="4"/>
  <c r="K1494" i="4"/>
  <c r="E1494" i="4"/>
  <c r="B1494" i="4"/>
  <c r="U1493" i="4"/>
  <c r="K1493" i="4"/>
  <c r="E1493" i="4"/>
  <c r="B1493" i="4"/>
  <c r="U1492" i="4"/>
  <c r="K1492" i="4"/>
  <c r="E1492" i="4"/>
  <c r="B1492" i="4"/>
  <c r="U1491" i="4"/>
  <c r="K1491" i="4"/>
  <c r="E1491" i="4"/>
  <c r="B1491" i="4"/>
  <c r="U1490" i="4"/>
  <c r="K1490" i="4"/>
  <c r="E1490" i="4"/>
  <c r="B1490" i="4"/>
  <c r="U1489" i="4"/>
  <c r="K1489" i="4"/>
  <c r="E1489" i="4"/>
  <c r="B1489" i="4"/>
  <c r="U1488" i="4"/>
  <c r="K1488" i="4"/>
  <c r="E1488" i="4"/>
  <c r="B1488" i="4"/>
  <c r="U1487" i="4"/>
  <c r="K1487" i="4"/>
  <c r="E1487" i="4"/>
  <c r="B1487" i="4"/>
  <c r="U1486" i="4"/>
  <c r="K1486" i="4"/>
  <c r="E1486" i="4"/>
  <c r="B1486" i="4"/>
  <c r="U1485" i="4"/>
  <c r="K1485" i="4"/>
  <c r="E1485" i="4"/>
  <c r="B1485" i="4"/>
  <c r="U1484" i="4"/>
  <c r="K1484" i="4"/>
  <c r="E1484" i="4"/>
  <c r="B1484" i="4"/>
  <c r="U1483" i="4"/>
  <c r="K1483" i="4"/>
  <c r="E1483" i="4"/>
  <c r="B1483" i="4"/>
  <c r="U1482" i="4"/>
  <c r="K1482" i="4"/>
  <c r="E1482" i="4"/>
  <c r="B1482" i="4"/>
  <c r="U1481" i="4"/>
  <c r="K1481" i="4"/>
  <c r="E1481" i="4"/>
  <c r="B1481" i="4"/>
  <c r="U1480" i="4"/>
  <c r="K1480" i="4"/>
  <c r="E1480" i="4"/>
  <c r="B1480" i="4"/>
  <c r="U1479" i="4"/>
  <c r="K1479" i="4"/>
  <c r="E1479" i="4"/>
  <c r="B1479" i="4"/>
  <c r="U1478" i="4"/>
  <c r="K1478" i="4"/>
  <c r="E1478" i="4"/>
  <c r="B1478" i="4"/>
  <c r="U1477" i="4"/>
  <c r="K1477" i="4"/>
  <c r="E1477" i="4"/>
  <c r="B1477" i="4"/>
  <c r="U1476" i="4"/>
  <c r="K1476" i="4"/>
  <c r="E1476" i="4"/>
  <c r="B1476" i="4"/>
  <c r="U1475" i="4"/>
  <c r="K1475" i="4"/>
  <c r="E1475" i="4"/>
  <c r="B1475" i="4"/>
  <c r="U1474" i="4"/>
  <c r="K1474" i="4"/>
  <c r="E1474" i="4"/>
  <c r="B1474" i="4"/>
  <c r="U1473" i="4"/>
  <c r="K1473" i="4"/>
  <c r="E1473" i="4"/>
  <c r="B1473" i="4"/>
  <c r="U1472" i="4"/>
  <c r="K1472" i="4"/>
  <c r="E1472" i="4"/>
  <c r="B1472" i="4"/>
  <c r="U1471" i="4"/>
  <c r="K1471" i="4"/>
  <c r="E1471" i="4"/>
  <c r="B1471" i="4"/>
  <c r="U1470" i="4"/>
  <c r="K1470" i="4"/>
  <c r="E1470" i="4"/>
  <c r="B1470" i="4"/>
  <c r="U1469" i="4"/>
  <c r="K1469" i="4"/>
  <c r="E1469" i="4"/>
  <c r="B1469" i="4"/>
  <c r="U1468" i="4"/>
  <c r="K1468" i="4"/>
  <c r="E1468" i="4"/>
  <c r="B1468" i="4"/>
  <c r="U1467" i="4"/>
  <c r="K1467" i="4"/>
  <c r="E1467" i="4"/>
  <c r="B1467" i="4"/>
  <c r="U1466" i="4"/>
  <c r="K1466" i="4"/>
  <c r="E1466" i="4"/>
  <c r="B1466" i="4"/>
  <c r="U1465" i="4"/>
  <c r="K1465" i="4"/>
  <c r="E1465" i="4"/>
  <c r="B1465" i="4"/>
  <c r="U1464" i="4"/>
  <c r="K1464" i="4"/>
  <c r="E1464" i="4"/>
  <c r="B1464" i="4"/>
  <c r="U1463" i="4"/>
  <c r="K1463" i="4"/>
  <c r="E1463" i="4"/>
  <c r="B1463" i="4"/>
  <c r="U1462" i="4"/>
  <c r="K1462" i="4"/>
  <c r="E1462" i="4"/>
  <c r="B1462" i="4"/>
  <c r="U1461" i="4"/>
  <c r="K1461" i="4"/>
  <c r="E1461" i="4"/>
  <c r="B1461" i="4"/>
  <c r="U1460" i="4"/>
  <c r="K1460" i="4"/>
  <c r="E1460" i="4"/>
  <c r="B1460" i="4"/>
  <c r="U1459" i="4"/>
  <c r="K1459" i="4"/>
  <c r="E1459" i="4"/>
  <c r="B1459" i="4"/>
  <c r="U1458" i="4"/>
  <c r="K1458" i="4"/>
  <c r="E1458" i="4"/>
  <c r="B1458" i="4"/>
  <c r="U1457" i="4"/>
  <c r="K1457" i="4"/>
  <c r="E1457" i="4"/>
  <c r="B1457" i="4"/>
  <c r="U1456" i="4"/>
  <c r="K1456" i="4"/>
  <c r="E1456" i="4"/>
  <c r="B1456" i="4"/>
  <c r="U1455" i="4"/>
  <c r="K1455" i="4"/>
  <c r="E1455" i="4"/>
  <c r="B1455" i="4"/>
  <c r="U1454" i="4"/>
  <c r="K1454" i="4"/>
  <c r="E1454" i="4"/>
  <c r="B1454" i="4"/>
  <c r="U1453" i="4"/>
  <c r="K1453" i="4"/>
  <c r="E1453" i="4"/>
  <c r="B1453" i="4"/>
  <c r="U1452" i="4"/>
  <c r="K1452" i="4"/>
  <c r="E1452" i="4"/>
  <c r="B1452" i="4"/>
  <c r="U1451" i="4"/>
  <c r="K1451" i="4"/>
  <c r="E1451" i="4"/>
  <c r="B1451" i="4"/>
  <c r="U1450" i="4"/>
  <c r="K1450" i="4"/>
  <c r="E1450" i="4"/>
  <c r="B1450" i="4"/>
  <c r="U1449" i="4"/>
  <c r="K1449" i="4"/>
  <c r="E1449" i="4"/>
  <c r="B1449" i="4"/>
  <c r="U1448" i="4"/>
  <c r="K1448" i="4"/>
  <c r="E1448" i="4"/>
  <c r="B1448" i="4"/>
  <c r="U1447" i="4"/>
  <c r="K1447" i="4"/>
  <c r="E1447" i="4"/>
  <c r="B1447" i="4"/>
  <c r="U1446" i="4"/>
  <c r="K1446" i="4"/>
  <c r="E1446" i="4"/>
  <c r="B1446" i="4"/>
  <c r="U1445" i="4"/>
  <c r="K1445" i="4"/>
  <c r="E1445" i="4"/>
  <c r="B1445" i="4"/>
  <c r="U1444" i="4"/>
  <c r="K1444" i="4"/>
  <c r="E1444" i="4"/>
  <c r="B1444" i="4"/>
  <c r="U1443" i="4"/>
  <c r="K1443" i="4"/>
  <c r="E1443" i="4"/>
  <c r="B1443" i="4"/>
  <c r="U1442" i="4"/>
  <c r="K1442" i="4"/>
  <c r="E1442" i="4"/>
  <c r="B1442" i="4"/>
  <c r="U1441" i="4"/>
  <c r="K1441" i="4"/>
  <c r="E1441" i="4"/>
  <c r="B1441" i="4"/>
  <c r="U1440" i="4"/>
  <c r="K1440" i="4"/>
  <c r="E1440" i="4"/>
  <c r="B1440" i="4"/>
  <c r="U1439" i="4"/>
  <c r="K1439" i="4"/>
  <c r="E1439" i="4"/>
  <c r="B1439" i="4"/>
  <c r="U1438" i="4"/>
  <c r="K1438" i="4"/>
  <c r="E1438" i="4"/>
  <c r="B1438" i="4"/>
  <c r="U1437" i="4"/>
  <c r="K1437" i="4"/>
  <c r="E1437" i="4"/>
  <c r="B1437" i="4"/>
  <c r="U1436" i="4"/>
  <c r="K1436" i="4"/>
  <c r="E1436" i="4"/>
  <c r="B1436" i="4"/>
  <c r="U1435" i="4"/>
  <c r="K1435" i="4"/>
  <c r="E1435" i="4"/>
  <c r="B1435" i="4"/>
  <c r="U1434" i="4"/>
  <c r="K1434" i="4"/>
  <c r="E1434" i="4"/>
  <c r="B1434" i="4"/>
  <c r="U1433" i="4"/>
  <c r="K1433" i="4"/>
  <c r="E1433" i="4"/>
  <c r="B1433" i="4"/>
  <c r="U1432" i="4"/>
  <c r="K1432" i="4"/>
  <c r="E1432" i="4"/>
  <c r="B1432" i="4"/>
  <c r="U1431" i="4"/>
  <c r="K1431" i="4"/>
  <c r="E1431" i="4"/>
  <c r="B1431" i="4"/>
  <c r="U1430" i="4"/>
  <c r="K1430" i="4"/>
  <c r="E1430" i="4"/>
  <c r="B1430" i="4"/>
  <c r="U1429" i="4"/>
  <c r="K1429" i="4"/>
  <c r="E1429" i="4"/>
  <c r="B1429" i="4"/>
  <c r="U1428" i="4"/>
  <c r="K1428" i="4"/>
  <c r="E1428" i="4"/>
  <c r="B1428" i="4"/>
  <c r="U1427" i="4"/>
  <c r="K1427" i="4"/>
  <c r="E1427" i="4"/>
  <c r="B1427" i="4"/>
  <c r="U1426" i="4"/>
  <c r="K1426" i="4"/>
  <c r="E1426" i="4"/>
  <c r="B1426" i="4"/>
  <c r="U1425" i="4"/>
  <c r="K1425" i="4"/>
  <c r="E1425" i="4"/>
  <c r="B1425" i="4"/>
  <c r="U1424" i="4"/>
  <c r="K1424" i="4"/>
  <c r="E1424" i="4"/>
  <c r="B1424" i="4"/>
  <c r="U1423" i="4"/>
  <c r="K1423" i="4"/>
  <c r="E1423" i="4"/>
  <c r="B1423" i="4"/>
  <c r="U1422" i="4"/>
  <c r="K1422" i="4"/>
  <c r="E1422" i="4"/>
  <c r="B1422" i="4"/>
  <c r="U1421" i="4"/>
  <c r="K1421" i="4"/>
  <c r="E1421" i="4"/>
  <c r="B1421" i="4"/>
  <c r="U1420" i="4"/>
  <c r="K1420" i="4"/>
  <c r="E1420" i="4"/>
  <c r="B1420" i="4"/>
  <c r="U1419" i="4"/>
  <c r="K1419" i="4"/>
  <c r="E1419" i="4"/>
  <c r="B1419" i="4"/>
  <c r="U1418" i="4"/>
  <c r="K1418" i="4"/>
  <c r="E1418" i="4"/>
  <c r="B1418" i="4"/>
  <c r="U1417" i="4"/>
  <c r="K1417" i="4"/>
  <c r="E1417" i="4"/>
  <c r="B1417" i="4"/>
  <c r="U1416" i="4"/>
  <c r="K1416" i="4"/>
  <c r="E1416" i="4"/>
  <c r="B1416" i="4"/>
  <c r="U1415" i="4"/>
  <c r="K1415" i="4"/>
  <c r="E1415" i="4"/>
  <c r="B1415" i="4"/>
  <c r="U1414" i="4"/>
  <c r="K1414" i="4"/>
  <c r="E1414" i="4"/>
  <c r="B1414" i="4"/>
  <c r="U1413" i="4"/>
  <c r="K1413" i="4"/>
  <c r="E1413" i="4"/>
  <c r="B1413" i="4"/>
  <c r="U1412" i="4"/>
  <c r="K1412" i="4"/>
  <c r="E1412" i="4"/>
  <c r="B1412" i="4"/>
  <c r="U1411" i="4"/>
  <c r="K1411" i="4"/>
  <c r="E1411" i="4"/>
  <c r="B1411" i="4"/>
  <c r="U1410" i="4"/>
  <c r="K1410" i="4"/>
  <c r="E1410" i="4"/>
  <c r="B1410" i="4"/>
  <c r="U1409" i="4"/>
  <c r="K1409" i="4"/>
  <c r="E1409" i="4"/>
  <c r="B1409" i="4"/>
  <c r="U1408" i="4"/>
  <c r="K1408" i="4"/>
  <c r="E1408" i="4"/>
  <c r="B1408" i="4"/>
  <c r="U1407" i="4"/>
  <c r="K1407" i="4"/>
  <c r="E1407" i="4"/>
  <c r="B1407" i="4"/>
  <c r="U1406" i="4"/>
  <c r="K1406" i="4"/>
  <c r="E1406" i="4"/>
  <c r="B1406" i="4"/>
  <c r="U1405" i="4"/>
  <c r="K1405" i="4"/>
  <c r="E1405" i="4"/>
  <c r="B1405" i="4"/>
  <c r="U1404" i="4"/>
  <c r="K1404" i="4"/>
  <c r="E1404" i="4"/>
  <c r="B1404" i="4"/>
  <c r="U1403" i="4"/>
  <c r="K1403" i="4"/>
  <c r="E1403" i="4"/>
  <c r="B1403" i="4"/>
  <c r="U1402" i="4"/>
  <c r="K1402" i="4"/>
  <c r="E1402" i="4"/>
  <c r="B1402" i="4"/>
  <c r="U1401" i="4"/>
  <c r="K1401" i="4"/>
  <c r="E1401" i="4"/>
  <c r="B1401" i="4"/>
  <c r="U1400" i="4"/>
  <c r="K1400" i="4"/>
  <c r="E1400" i="4"/>
  <c r="B1400" i="4"/>
  <c r="U1399" i="4"/>
  <c r="K1399" i="4"/>
  <c r="E1399" i="4"/>
  <c r="B1399" i="4"/>
  <c r="U1398" i="4"/>
  <c r="K1398" i="4"/>
  <c r="E1398" i="4"/>
  <c r="B1398" i="4"/>
  <c r="U1397" i="4"/>
  <c r="K1397" i="4"/>
  <c r="E1397" i="4"/>
  <c r="B1397" i="4"/>
  <c r="U1396" i="4"/>
  <c r="K1396" i="4"/>
  <c r="E1396" i="4"/>
  <c r="B1396" i="4"/>
  <c r="U1395" i="4"/>
  <c r="K1395" i="4"/>
  <c r="E1395" i="4"/>
  <c r="B1395" i="4"/>
  <c r="U1394" i="4"/>
  <c r="K1394" i="4"/>
  <c r="E1394" i="4"/>
  <c r="B1394" i="4"/>
  <c r="U1393" i="4"/>
  <c r="K1393" i="4"/>
  <c r="E1393" i="4"/>
  <c r="B1393" i="4"/>
  <c r="U1392" i="4"/>
  <c r="K1392" i="4"/>
  <c r="E1392" i="4"/>
  <c r="B1392" i="4"/>
  <c r="U1391" i="4"/>
  <c r="K1391" i="4"/>
  <c r="E1391" i="4"/>
  <c r="B1391" i="4"/>
  <c r="U1390" i="4"/>
  <c r="K1390" i="4"/>
  <c r="E1390" i="4"/>
  <c r="B1390" i="4"/>
  <c r="U1389" i="4"/>
  <c r="K1389" i="4"/>
  <c r="E1389" i="4"/>
  <c r="B1389" i="4"/>
  <c r="U1388" i="4"/>
  <c r="K1388" i="4"/>
  <c r="E1388" i="4"/>
  <c r="B1388" i="4"/>
  <c r="U1387" i="4"/>
  <c r="K1387" i="4"/>
  <c r="E1387" i="4"/>
  <c r="B1387" i="4"/>
  <c r="U1386" i="4"/>
  <c r="K1386" i="4"/>
  <c r="E1386" i="4"/>
  <c r="B1386" i="4"/>
  <c r="U1385" i="4"/>
  <c r="K1385" i="4"/>
  <c r="E1385" i="4"/>
  <c r="B1385" i="4"/>
  <c r="U1384" i="4"/>
  <c r="K1384" i="4"/>
  <c r="E1384" i="4"/>
  <c r="B1384" i="4"/>
  <c r="U1383" i="4"/>
  <c r="K1383" i="4"/>
  <c r="E1383" i="4"/>
  <c r="B1383" i="4"/>
  <c r="U1382" i="4"/>
  <c r="K1382" i="4"/>
  <c r="E1382" i="4"/>
  <c r="B1382" i="4"/>
  <c r="U1381" i="4"/>
  <c r="K1381" i="4"/>
  <c r="E1381" i="4"/>
  <c r="B1381" i="4"/>
  <c r="U1380" i="4"/>
  <c r="K1380" i="4"/>
  <c r="E1380" i="4"/>
  <c r="B1380" i="4"/>
  <c r="U1379" i="4"/>
  <c r="K1379" i="4"/>
  <c r="E1379" i="4"/>
  <c r="B1379" i="4"/>
  <c r="U1378" i="4"/>
  <c r="K1378" i="4"/>
  <c r="E1378" i="4"/>
  <c r="B1378" i="4"/>
  <c r="U1377" i="4"/>
  <c r="K1377" i="4"/>
  <c r="E1377" i="4"/>
  <c r="B1377" i="4"/>
  <c r="U1376" i="4"/>
  <c r="K1376" i="4"/>
  <c r="E1376" i="4"/>
  <c r="B1376" i="4"/>
  <c r="U1375" i="4"/>
  <c r="K1375" i="4"/>
  <c r="E1375" i="4"/>
  <c r="B1375" i="4"/>
  <c r="U1374" i="4"/>
  <c r="K1374" i="4"/>
  <c r="E1374" i="4"/>
  <c r="B1374" i="4"/>
  <c r="U1373" i="4"/>
  <c r="K1373" i="4"/>
  <c r="E1373" i="4"/>
  <c r="B1373" i="4"/>
  <c r="U1372" i="4"/>
  <c r="K1372" i="4"/>
  <c r="E1372" i="4"/>
  <c r="B1372" i="4"/>
  <c r="U1371" i="4"/>
  <c r="K1371" i="4"/>
  <c r="E1371" i="4"/>
  <c r="B1371" i="4"/>
  <c r="U1370" i="4"/>
  <c r="K1370" i="4"/>
  <c r="E1370" i="4"/>
  <c r="B1370" i="4"/>
  <c r="U1369" i="4"/>
  <c r="K1369" i="4"/>
  <c r="E1369" i="4"/>
  <c r="B1369" i="4"/>
  <c r="U1368" i="4"/>
  <c r="K1368" i="4"/>
  <c r="E1368" i="4"/>
  <c r="B1368" i="4"/>
  <c r="U1367" i="4"/>
  <c r="K1367" i="4"/>
  <c r="E1367" i="4"/>
  <c r="B1367" i="4"/>
  <c r="U1366" i="4"/>
  <c r="K1366" i="4"/>
  <c r="E1366" i="4"/>
  <c r="B1366" i="4"/>
  <c r="U1365" i="4"/>
  <c r="K1365" i="4"/>
  <c r="E1365" i="4"/>
  <c r="B1365" i="4"/>
  <c r="U1364" i="4"/>
  <c r="K1364" i="4"/>
  <c r="E1364" i="4"/>
  <c r="B1364" i="4"/>
  <c r="U1363" i="4"/>
  <c r="K1363" i="4"/>
  <c r="E1363" i="4"/>
  <c r="B1363" i="4"/>
  <c r="U1362" i="4"/>
  <c r="K1362" i="4"/>
  <c r="E1362" i="4"/>
  <c r="B1362" i="4"/>
  <c r="U1361" i="4"/>
  <c r="K1361" i="4"/>
  <c r="E1361" i="4"/>
  <c r="B1361" i="4"/>
  <c r="U1360" i="4"/>
  <c r="K1360" i="4"/>
  <c r="E1360" i="4"/>
  <c r="B1360" i="4"/>
  <c r="U1359" i="4"/>
  <c r="K1359" i="4"/>
  <c r="E1359" i="4"/>
  <c r="B1359" i="4"/>
  <c r="U1358" i="4"/>
  <c r="K1358" i="4"/>
  <c r="E1358" i="4"/>
  <c r="B1358" i="4"/>
  <c r="U1357" i="4"/>
  <c r="K1357" i="4"/>
  <c r="E1357" i="4"/>
  <c r="B1357" i="4"/>
  <c r="U1356" i="4"/>
  <c r="K1356" i="4"/>
  <c r="E1356" i="4"/>
  <c r="B1356" i="4"/>
  <c r="U1355" i="4"/>
  <c r="K1355" i="4"/>
  <c r="E1355" i="4"/>
  <c r="B1355" i="4"/>
  <c r="U1354" i="4"/>
  <c r="K1354" i="4"/>
  <c r="E1354" i="4"/>
  <c r="B1354" i="4"/>
  <c r="U1353" i="4"/>
  <c r="K1353" i="4"/>
  <c r="E1353" i="4"/>
  <c r="B1353" i="4"/>
  <c r="U1352" i="4"/>
  <c r="K1352" i="4"/>
  <c r="E1352" i="4"/>
  <c r="B1352" i="4"/>
  <c r="U1351" i="4"/>
  <c r="K1351" i="4"/>
  <c r="E1351" i="4"/>
  <c r="B1351" i="4"/>
  <c r="U1350" i="4"/>
  <c r="K1350" i="4"/>
  <c r="E1350" i="4"/>
  <c r="B1350" i="4"/>
  <c r="U1349" i="4"/>
  <c r="K1349" i="4"/>
  <c r="E1349" i="4"/>
  <c r="B1349" i="4"/>
  <c r="U1348" i="4"/>
  <c r="K1348" i="4"/>
  <c r="E1348" i="4"/>
  <c r="B1348" i="4"/>
  <c r="U1347" i="4"/>
  <c r="K1347" i="4"/>
  <c r="E1347" i="4"/>
  <c r="B1347" i="4"/>
  <c r="U1346" i="4"/>
  <c r="K1346" i="4"/>
  <c r="E1346" i="4"/>
  <c r="B1346" i="4"/>
  <c r="U1345" i="4"/>
  <c r="K1345" i="4"/>
  <c r="E1345" i="4"/>
  <c r="B1345" i="4"/>
  <c r="U1344" i="4"/>
  <c r="K1344" i="4"/>
  <c r="E1344" i="4"/>
  <c r="B1344" i="4"/>
  <c r="U1343" i="4"/>
  <c r="K1343" i="4"/>
  <c r="E1343" i="4"/>
  <c r="B1343" i="4"/>
  <c r="U1342" i="4"/>
  <c r="K1342" i="4"/>
  <c r="E1342" i="4"/>
  <c r="B1342" i="4"/>
  <c r="U1341" i="4"/>
  <c r="K1341" i="4"/>
  <c r="E1341" i="4"/>
  <c r="B1341" i="4"/>
  <c r="U1340" i="4"/>
  <c r="K1340" i="4"/>
  <c r="E1340" i="4"/>
  <c r="B1340" i="4"/>
  <c r="U1339" i="4"/>
  <c r="K1339" i="4"/>
  <c r="E1339" i="4"/>
  <c r="B1339" i="4"/>
  <c r="U1338" i="4"/>
  <c r="K1338" i="4"/>
  <c r="E1338" i="4"/>
  <c r="B1338" i="4"/>
  <c r="U1337" i="4"/>
  <c r="K1337" i="4"/>
  <c r="E1337" i="4"/>
  <c r="B1337" i="4"/>
  <c r="U1336" i="4"/>
  <c r="K1336" i="4"/>
  <c r="E1336" i="4"/>
  <c r="B1336" i="4"/>
  <c r="U1335" i="4"/>
  <c r="K1335" i="4"/>
  <c r="E1335" i="4"/>
  <c r="B1335" i="4"/>
  <c r="U1334" i="4"/>
  <c r="K1334" i="4"/>
  <c r="E1334" i="4"/>
  <c r="B1334" i="4"/>
  <c r="U1333" i="4"/>
  <c r="K1333" i="4"/>
  <c r="E1333" i="4"/>
  <c r="B1333" i="4"/>
  <c r="U1332" i="4"/>
  <c r="K1332" i="4"/>
  <c r="E1332" i="4"/>
  <c r="B1332" i="4"/>
  <c r="U1331" i="4"/>
  <c r="K1331" i="4"/>
  <c r="E1331" i="4"/>
  <c r="B1331" i="4"/>
  <c r="U1330" i="4"/>
  <c r="K1330" i="4"/>
  <c r="E1330" i="4"/>
  <c r="B1330" i="4"/>
  <c r="U1329" i="4"/>
  <c r="K1329" i="4"/>
  <c r="E1329" i="4"/>
  <c r="B1329" i="4"/>
  <c r="U1328" i="4"/>
  <c r="K1328" i="4"/>
  <c r="E1328" i="4"/>
  <c r="B1328" i="4"/>
  <c r="U1327" i="4"/>
  <c r="K1327" i="4"/>
  <c r="H1327" i="4"/>
  <c r="E1327" i="4"/>
  <c r="B1327" i="4"/>
  <c r="U1326" i="4"/>
  <c r="K1326" i="4"/>
  <c r="E1326" i="4"/>
  <c r="B1326" i="4"/>
  <c r="U1325" i="4"/>
  <c r="K1325" i="4"/>
  <c r="E1325" i="4"/>
  <c r="B1325" i="4"/>
  <c r="U1324" i="4"/>
  <c r="K1324" i="4"/>
  <c r="E1324" i="4"/>
  <c r="B1324" i="4"/>
  <c r="U1323" i="4"/>
  <c r="K1323" i="4"/>
  <c r="E1323" i="4"/>
  <c r="B1323" i="4"/>
  <c r="U1322" i="4"/>
  <c r="K1322" i="4"/>
  <c r="E1322" i="4"/>
  <c r="B1322" i="4"/>
  <c r="U1321" i="4"/>
  <c r="K1321" i="4"/>
  <c r="E1321" i="4"/>
  <c r="B1321" i="4"/>
  <c r="U1320" i="4"/>
  <c r="K1320" i="4"/>
  <c r="E1320" i="4"/>
  <c r="B1320" i="4"/>
  <c r="U1319" i="4"/>
  <c r="K1319" i="4"/>
  <c r="E1319" i="4"/>
  <c r="B1319" i="4"/>
  <c r="U1318" i="4"/>
  <c r="K1318" i="4"/>
  <c r="E1318" i="4"/>
  <c r="B1318" i="4"/>
  <c r="U1317" i="4"/>
  <c r="K1317" i="4"/>
  <c r="E1317" i="4"/>
  <c r="B1317" i="4"/>
  <c r="U1316" i="4"/>
  <c r="K1316" i="4"/>
  <c r="E1316" i="4"/>
  <c r="B1316" i="4"/>
  <c r="U1315" i="4"/>
  <c r="K1315" i="4"/>
  <c r="E1315" i="4"/>
  <c r="B1315" i="4"/>
  <c r="U1314" i="4"/>
  <c r="K1314" i="4"/>
  <c r="E1314" i="4"/>
  <c r="B1314" i="4"/>
  <c r="U1313" i="4"/>
  <c r="K1313" i="4"/>
  <c r="E1313" i="4"/>
  <c r="B1313" i="4"/>
  <c r="U1312" i="4"/>
  <c r="K1312" i="4"/>
  <c r="E1312" i="4"/>
  <c r="B1312" i="4"/>
  <c r="U1311" i="4"/>
  <c r="K1311" i="4"/>
  <c r="E1311" i="4"/>
  <c r="B1311" i="4"/>
  <c r="K1310" i="4"/>
  <c r="E1310" i="4"/>
  <c r="B1310" i="4"/>
  <c r="U1309" i="4"/>
  <c r="K1309" i="4"/>
  <c r="E1309" i="4"/>
  <c r="B1309" i="4"/>
  <c r="U1308" i="4"/>
  <c r="K1308" i="4"/>
  <c r="E1308" i="4"/>
  <c r="B1308" i="4"/>
  <c r="U1307" i="4"/>
  <c r="K1307" i="4"/>
  <c r="E1307" i="4"/>
  <c r="B1307" i="4"/>
  <c r="U1306" i="4"/>
  <c r="K1306" i="4"/>
  <c r="E1306" i="4"/>
  <c r="B1306" i="4"/>
  <c r="U1305" i="4"/>
  <c r="K1305" i="4"/>
  <c r="E1305" i="4"/>
  <c r="B1305" i="4"/>
  <c r="U1304" i="4"/>
  <c r="K1304" i="4"/>
  <c r="E1304" i="4"/>
  <c r="B1304" i="4"/>
  <c r="U1303" i="4"/>
  <c r="K1303" i="4"/>
  <c r="E1303" i="4"/>
  <c r="B1303" i="4"/>
  <c r="U1302" i="4"/>
  <c r="K1302" i="4"/>
  <c r="E1302" i="4"/>
  <c r="B1302" i="4"/>
  <c r="U1301" i="4"/>
  <c r="K1301" i="4"/>
  <c r="E1301" i="4"/>
  <c r="B1301" i="4"/>
  <c r="U1300" i="4"/>
  <c r="K1300" i="4"/>
  <c r="E1300" i="4"/>
  <c r="B1300" i="4"/>
  <c r="U1299" i="4"/>
  <c r="K1299" i="4"/>
  <c r="E1299" i="4"/>
  <c r="B1299" i="4"/>
  <c r="U1298" i="4"/>
  <c r="K1298" i="4"/>
  <c r="E1298" i="4"/>
  <c r="B1298" i="4"/>
  <c r="U1297" i="4"/>
  <c r="K1297" i="4"/>
  <c r="E1297" i="4"/>
  <c r="B1297" i="4"/>
  <c r="U1296" i="4"/>
  <c r="K1296" i="4"/>
  <c r="E1296" i="4"/>
  <c r="B1296" i="4"/>
  <c r="U1295" i="4"/>
  <c r="K1295" i="4"/>
  <c r="E1295" i="4"/>
  <c r="B1295" i="4"/>
  <c r="U1294" i="4"/>
  <c r="K1294" i="4"/>
  <c r="E1294" i="4"/>
  <c r="B1294" i="4"/>
  <c r="U1293" i="4"/>
  <c r="K1293" i="4"/>
  <c r="E1293" i="4"/>
  <c r="B1293" i="4"/>
  <c r="U1292" i="4"/>
  <c r="K1292" i="4"/>
  <c r="E1292" i="4"/>
  <c r="B1292" i="4"/>
  <c r="U1291" i="4"/>
  <c r="K1291" i="4"/>
  <c r="E1291" i="4"/>
  <c r="B1291" i="4"/>
  <c r="U1290" i="4"/>
  <c r="K1290" i="4"/>
  <c r="E1290" i="4"/>
  <c r="B1290" i="4"/>
  <c r="U1289" i="4"/>
  <c r="K1289" i="4"/>
  <c r="E1289" i="4"/>
  <c r="B1289" i="4"/>
  <c r="U1288" i="4"/>
  <c r="K1288" i="4"/>
  <c r="E1288" i="4"/>
  <c r="B1288" i="4"/>
  <c r="U1287" i="4"/>
  <c r="K1287" i="4"/>
  <c r="E1287" i="4"/>
  <c r="B1287" i="4"/>
  <c r="U1286" i="4"/>
  <c r="K1286" i="4"/>
  <c r="E1286" i="4"/>
  <c r="B1286" i="4"/>
  <c r="U1285" i="4"/>
  <c r="K1285" i="4"/>
  <c r="E1285" i="4"/>
  <c r="B1285" i="4"/>
  <c r="U1284" i="4"/>
  <c r="K1284" i="4"/>
  <c r="E1284" i="4"/>
  <c r="B1284" i="4"/>
  <c r="U1283" i="4"/>
  <c r="K1283" i="4"/>
  <c r="E1283" i="4"/>
  <c r="B1283" i="4"/>
  <c r="U1282" i="4"/>
  <c r="K1282" i="4"/>
  <c r="E1282" i="4"/>
  <c r="B1282" i="4"/>
  <c r="U1281" i="4"/>
  <c r="K1281" i="4"/>
  <c r="E1281" i="4"/>
  <c r="B1281" i="4"/>
  <c r="U1280" i="4"/>
  <c r="K1280" i="4"/>
  <c r="E1280" i="4"/>
  <c r="B1280" i="4"/>
  <c r="U1279" i="4"/>
  <c r="K1279" i="4"/>
  <c r="E1279" i="4"/>
  <c r="B1279" i="4"/>
  <c r="U1278" i="4"/>
  <c r="K1278" i="4"/>
  <c r="E1278" i="4"/>
  <c r="B1278" i="4"/>
  <c r="U1277" i="4"/>
  <c r="K1277" i="4"/>
  <c r="E1277" i="4"/>
  <c r="B1277" i="4"/>
  <c r="U1276" i="4"/>
  <c r="K1276" i="4"/>
  <c r="E1276" i="4"/>
  <c r="B1276" i="4"/>
  <c r="U1275" i="4"/>
  <c r="K1275" i="4"/>
  <c r="E1275" i="4"/>
  <c r="B1275" i="4"/>
  <c r="U1274" i="4"/>
  <c r="K1274" i="4"/>
  <c r="E1274" i="4"/>
  <c r="B1274" i="4"/>
  <c r="U1273" i="4"/>
  <c r="K1273" i="4"/>
  <c r="E1273" i="4"/>
  <c r="B1273" i="4"/>
  <c r="U1272" i="4"/>
  <c r="K1272" i="4"/>
  <c r="E1272" i="4"/>
  <c r="B1272" i="4"/>
  <c r="U1271" i="4"/>
  <c r="K1271" i="4"/>
  <c r="E1271" i="4"/>
  <c r="B1271" i="4"/>
  <c r="U1270" i="4"/>
  <c r="K1270" i="4"/>
  <c r="E1270" i="4"/>
  <c r="B1270" i="4"/>
  <c r="U1269" i="4"/>
  <c r="K1269" i="4"/>
  <c r="E1269" i="4"/>
  <c r="B1269" i="4"/>
  <c r="U1268" i="4"/>
  <c r="K1268" i="4"/>
  <c r="E1268" i="4"/>
  <c r="B1268" i="4"/>
  <c r="U1267" i="4"/>
  <c r="K1267" i="4"/>
  <c r="E1267" i="4"/>
  <c r="B1267" i="4"/>
  <c r="U1266" i="4"/>
  <c r="K1266" i="4"/>
  <c r="E1266" i="4"/>
  <c r="B1266" i="4"/>
  <c r="U1265" i="4"/>
  <c r="K1265" i="4"/>
  <c r="E1265" i="4"/>
  <c r="B1265" i="4"/>
  <c r="U1264" i="4"/>
  <c r="K1264" i="4"/>
  <c r="E1264" i="4"/>
  <c r="B1264" i="4"/>
  <c r="U1263" i="4"/>
  <c r="K1263" i="4"/>
  <c r="E1263" i="4"/>
  <c r="B1263" i="4"/>
  <c r="U1262" i="4"/>
  <c r="K1262" i="4"/>
  <c r="E1262" i="4"/>
  <c r="B1262" i="4"/>
  <c r="U1261" i="4"/>
  <c r="K1261" i="4"/>
  <c r="E1261" i="4"/>
  <c r="B1261" i="4"/>
  <c r="U1260" i="4"/>
  <c r="K1260" i="4"/>
  <c r="E1260" i="4"/>
  <c r="B1260" i="4"/>
  <c r="U1259" i="4"/>
  <c r="K1259" i="4"/>
  <c r="E1259" i="4"/>
  <c r="B1259" i="4"/>
  <c r="U1258" i="4"/>
  <c r="K1258" i="4"/>
  <c r="E1258" i="4"/>
  <c r="B1258" i="4"/>
  <c r="U1257" i="4"/>
  <c r="K1257" i="4"/>
  <c r="E1257" i="4"/>
  <c r="B1257" i="4"/>
  <c r="U1256" i="4"/>
  <c r="K1256" i="4"/>
  <c r="E1256" i="4"/>
  <c r="B1256" i="4"/>
  <c r="U1255" i="4"/>
  <c r="K1255" i="4"/>
  <c r="E1255" i="4"/>
  <c r="B1255" i="4"/>
  <c r="U1254" i="4"/>
  <c r="K1254" i="4"/>
  <c r="E1254" i="4"/>
  <c r="B1254" i="4"/>
  <c r="U1253" i="4"/>
  <c r="K1253" i="4"/>
  <c r="E1253" i="4"/>
  <c r="B1253" i="4"/>
  <c r="U1252" i="4"/>
  <c r="K1252" i="4"/>
  <c r="E1252" i="4"/>
  <c r="B1252" i="4"/>
  <c r="U1251" i="4"/>
  <c r="K1251" i="4"/>
  <c r="E1251" i="4"/>
  <c r="B1251" i="4"/>
  <c r="U1250" i="4"/>
  <c r="K1250" i="4"/>
  <c r="E1250" i="4"/>
  <c r="B1250" i="4"/>
  <c r="U1249" i="4"/>
  <c r="K1249" i="4"/>
  <c r="E1249" i="4"/>
  <c r="B1249" i="4"/>
  <c r="U1248" i="4"/>
  <c r="K1248" i="4"/>
  <c r="E1248" i="4"/>
  <c r="B1248" i="4"/>
  <c r="U1247" i="4"/>
  <c r="K1247" i="4"/>
  <c r="E1247" i="4"/>
  <c r="B1247" i="4"/>
  <c r="U1246" i="4"/>
  <c r="K1246" i="4"/>
  <c r="E1246" i="4"/>
  <c r="B1246" i="4"/>
  <c r="U1245" i="4"/>
  <c r="K1245" i="4"/>
  <c r="E1245" i="4"/>
  <c r="B1245" i="4"/>
  <c r="U1244" i="4"/>
  <c r="K1244" i="4"/>
  <c r="E1244" i="4"/>
  <c r="B1244" i="4"/>
  <c r="U1243" i="4"/>
  <c r="K1243" i="4"/>
  <c r="E1243" i="4"/>
  <c r="B1243" i="4"/>
  <c r="U1242" i="4"/>
  <c r="K1242" i="4"/>
  <c r="E1242" i="4"/>
  <c r="B1242" i="4"/>
  <c r="U1241" i="4"/>
  <c r="K1241" i="4"/>
  <c r="E1241" i="4"/>
  <c r="B1241" i="4"/>
  <c r="U1240" i="4"/>
  <c r="K1240" i="4"/>
  <c r="E1240" i="4"/>
  <c r="B1240" i="4"/>
  <c r="U1239" i="4"/>
  <c r="K1239" i="4"/>
  <c r="E1239" i="4"/>
  <c r="B1239" i="4"/>
  <c r="U1238" i="4"/>
  <c r="K1238" i="4"/>
  <c r="E1238" i="4"/>
  <c r="B1238" i="4"/>
  <c r="U1237" i="4"/>
  <c r="K1237" i="4"/>
  <c r="E1237" i="4"/>
  <c r="B1237" i="4"/>
  <c r="U1236" i="4"/>
  <c r="K1236" i="4"/>
  <c r="E1236" i="4"/>
  <c r="B1236" i="4"/>
  <c r="U1235" i="4"/>
  <c r="K1235" i="4"/>
  <c r="E1235" i="4"/>
  <c r="B1235" i="4"/>
  <c r="U1234" i="4"/>
  <c r="K1234" i="4"/>
  <c r="E1234" i="4"/>
  <c r="B1234" i="4"/>
  <c r="U1233" i="4"/>
  <c r="K1233" i="4"/>
  <c r="E1233" i="4"/>
  <c r="B1233" i="4"/>
  <c r="U1232" i="4"/>
  <c r="K1232" i="4"/>
  <c r="E1232" i="4"/>
  <c r="B1232" i="4"/>
  <c r="U1231" i="4"/>
  <c r="K1231" i="4"/>
  <c r="E1231" i="4"/>
  <c r="B1231" i="4"/>
  <c r="U1230" i="4"/>
  <c r="K1230" i="4"/>
  <c r="E1230" i="4"/>
  <c r="B1230" i="4"/>
  <c r="U1229" i="4"/>
  <c r="K1229" i="4"/>
  <c r="E1229" i="4"/>
  <c r="B1229" i="4"/>
  <c r="U1228" i="4"/>
  <c r="K1228" i="4"/>
  <c r="E1228" i="4"/>
  <c r="B1228" i="4"/>
  <c r="U1227" i="4"/>
  <c r="K1227" i="4"/>
  <c r="E1227" i="4"/>
  <c r="B1227" i="4"/>
  <c r="U1226" i="4"/>
  <c r="K1226" i="4"/>
  <c r="E1226" i="4"/>
  <c r="B1226" i="4"/>
  <c r="U1225" i="4"/>
  <c r="K1225" i="4"/>
  <c r="E1225" i="4"/>
  <c r="B1225" i="4"/>
  <c r="U1224" i="4"/>
  <c r="K1224" i="4"/>
  <c r="E1224" i="4"/>
  <c r="B1224" i="4"/>
  <c r="U1223" i="4"/>
  <c r="K1223" i="4"/>
  <c r="E1223" i="4"/>
  <c r="B1223" i="4"/>
  <c r="U1222" i="4"/>
  <c r="K1222" i="4"/>
  <c r="E1222" i="4"/>
  <c r="B1222" i="4"/>
  <c r="U1221" i="4"/>
  <c r="K1221" i="4"/>
  <c r="E1221" i="4"/>
  <c r="B1221" i="4"/>
  <c r="U1220" i="4"/>
  <c r="K1220" i="4"/>
  <c r="E1220" i="4"/>
  <c r="B1220" i="4"/>
  <c r="U1219" i="4"/>
  <c r="K1219" i="4"/>
  <c r="E1219" i="4"/>
  <c r="B1219" i="4"/>
  <c r="U1218" i="4"/>
  <c r="K1218" i="4"/>
  <c r="E1218" i="4"/>
  <c r="B1218" i="4"/>
  <c r="U1217" i="4"/>
  <c r="K1217" i="4"/>
  <c r="E1217" i="4"/>
  <c r="B1217" i="4"/>
  <c r="U1216" i="4"/>
  <c r="K1216" i="4"/>
  <c r="E1216" i="4"/>
  <c r="B1216" i="4"/>
  <c r="U1215" i="4"/>
  <c r="K1215" i="4"/>
  <c r="E1215" i="4"/>
  <c r="B1215" i="4"/>
  <c r="U1214" i="4"/>
  <c r="K1214" i="4"/>
  <c r="E1214" i="4"/>
  <c r="B1214" i="4"/>
  <c r="U1213" i="4"/>
  <c r="K1213" i="4"/>
  <c r="E1213" i="4"/>
  <c r="B1213" i="4"/>
  <c r="U1212" i="4"/>
  <c r="K1212" i="4"/>
  <c r="E1212" i="4"/>
  <c r="B1212" i="4"/>
  <c r="U1211" i="4"/>
  <c r="K1211" i="4"/>
  <c r="E1211" i="4"/>
  <c r="B1211" i="4"/>
  <c r="U1210" i="4"/>
  <c r="K1210" i="4"/>
  <c r="E1210" i="4"/>
  <c r="B1210" i="4"/>
  <c r="U1209" i="4"/>
  <c r="K1209" i="4"/>
  <c r="E1209" i="4"/>
  <c r="B1209" i="4"/>
  <c r="U1208" i="4"/>
  <c r="K1208" i="4"/>
  <c r="E1208" i="4"/>
  <c r="B1208" i="4"/>
  <c r="U1207" i="4"/>
  <c r="K1207" i="4"/>
  <c r="E1207" i="4"/>
  <c r="B1207" i="4"/>
  <c r="U1206" i="4"/>
  <c r="K1206" i="4"/>
  <c r="E1206" i="4"/>
  <c r="B1206" i="4"/>
  <c r="U1205" i="4"/>
  <c r="K1205" i="4"/>
  <c r="E1205" i="4"/>
  <c r="B1205" i="4"/>
  <c r="U1204" i="4"/>
  <c r="K1204" i="4"/>
  <c r="E1204" i="4"/>
  <c r="B1204" i="4"/>
  <c r="U1203" i="4"/>
  <c r="K1203" i="4"/>
  <c r="E1203" i="4"/>
  <c r="B1203" i="4"/>
  <c r="U1202" i="4"/>
  <c r="K1202" i="4"/>
  <c r="E1202" i="4"/>
  <c r="B1202" i="4"/>
  <c r="U1201" i="4"/>
  <c r="K1201" i="4"/>
  <c r="E1201" i="4"/>
  <c r="B1201" i="4"/>
  <c r="U1200" i="4"/>
  <c r="K1200" i="4"/>
  <c r="E1200" i="4"/>
  <c r="B1200" i="4"/>
  <c r="U1199" i="4"/>
  <c r="K1199" i="4"/>
  <c r="E1199" i="4"/>
  <c r="B1199" i="4"/>
  <c r="U1198" i="4"/>
  <c r="K1198" i="4"/>
  <c r="E1198" i="4"/>
  <c r="B1198" i="4"/>
  <c r="U1197" i="4"/>
  <c r="K1197" i="4"/>
  <c r="E1197" i="4"/>
  <c r="B1197" i="4"/>
  <c r="U1196" i="4"/>
  <c r="K1196" i="4"/>
  <c r="E1196" i="4"/>
  <c r="B1196" i="4"/>
  <c r="U1195" i="4"/>
  <c r="K1195" i="4"/>
  <c r="E1195" i="4"/>
  <c r="B1195" i="4"/>
  <c r="U1194" i="4"/>
  <c r="K1194" i="4"/>
  <c r="E1194" i="4"/>
  <c r="B1194" i="4"/>
  <c r="U1193" i="4"/>
  <c r="K1193" i="4"/>
  <c r="E1193" i="4"/>
  <c r="B1193" i="4"/>
  <c r="U1192" i="4"/>
  <c r="K1192" i="4"/>
  <c r="E1192" i="4"/>
  <c r="B1192" i="4"/>
  <c r="U1191" i="4"/>
  <c r="K1191" i="4"/>
  <c r="E1191" i="4"/>
  <c r="B1191" i="4"/>
  <c r="U1190" i="4"/>
  <c r="K1190" i="4"/>
  <c r="E1190" i="4"/>
  <c r="B1190" i="4"/>
  <c r="U1189" i="4"/>
  <c r="K1189" i="4"/>
  <c r="E1189" i="4"/>
  <c r="B1189" i="4"/>
  <c r="U1188" i="4"/>
  <c r="K1188" i="4"/>
  <c r="E1188" i="4"/>
  <c r="B1188" i="4"/>
  <c r="U1187" i="4"/>
  <c r="K1187" i="4"/>
  <c r="E1187" i="4"/>
  <c r="B1187" i="4"/>
  <c r="U1186" i="4"/>
  <c r="K1186" i="4"/>
  <c r="E1186" i="4"/>
  <c r="B1186" i="4"/>
  <c r="U1185" i="4"/>
  <c r="K1185" i="4"/>
  <c r="E1185" i="4"/>
  <c r="B1185" i="4"/>
  <c r="U1184" i="4"/>
  <c r="K1184" i="4"/>
  <c r="E1184" i="4"/>
  <c r="B1184" i="4"/>
  <c r="U1183" i="4"/>
  <c r="K1183" i="4"/>
  <c r="E1183" i="4"/>
  <c r="B1183" i="4"/>
  <c r="U1182" i="4"/>
  <c r="K1182" i="4"/>
  <c r="E1182" i="4"/>
  <c r="B1182" i="4"/>
  <c r="U1181" i="4"/>
  <c r="K1181" i="4"/>
  <c r="E1181" i="4"/>
  <c r="B1181" i="4"/>
  <c r="U1180" i="4"/>
  <c r="K1180" i="4"/>
  <c r="E1180" i="4"/>
  <c r="B1180" i="4"/>
  <c r="U1179" i="4"/>
  <c r="K1179" i="4"/>
  <c r="E1179" i="4"/>
  <c r="B1179" i="4"/>
  <c r="U1178" i="4"/>
  <c r="K1178" i="4"/>
  <c r="E1178" i="4"/>
  <c r="B1178" i="4"/>
  <c r="U1177" i="4"/>
  <c r="K1177" i="4"/>
  <c r="E1177" i="4"/>
  <c r="B1177" i="4"/>
  <c r="U1176" i="4"/>
  <c r="K1176" i="4"/>
  <c r="E1176" i="4"/>
  <c r="B1176" i="4"/>
  <c r="U1175" i="4"/>
  <c r="K1175" i="4"/>
  <c r="E1175" i="4"/>
  <c r="B1175" i="4"/>
  <c r="U1174" i="4"/>
  <c r="K1174" i="4"/>
  <c r="E1174" i="4"/>
  <c r="B1174" i="4"/>
  <c r="U1173" i="4"/>
  <c r="K1173" i="4"/>
  <c r="E1173" i="4"/>
  <c r="B1173" i="4"/>
  <c r="U1172" i="4"/>
  <c r="K1172" i="4"/>
  <c r="E1172" i="4"/>
  <c r="B1172" i="4"/>
  <c r="U1171" i="4"/>
  <c r="K1171" i="4"/>
  <c r="E1171" i="4"/>
  <c r="B1171" i="4"/>
  <c r="U1170" i="4"/>
  <c r="K1170" i="4"/>
  <c r="E1170" i="4"/>
  <c r="B1170" i="4"/>
  <c r="U1169" i="4"/>
  <c r="K1169" i="4"/>
  <c r="E1169" i="4"/>
  <c r="B1169" i="4"/>
  <c r="U1168" i="4"/>
  <c r="K1168" i="4"/>
  <c r="E1168" i="4"/>
  <c r="B1168" i="4"/>
  <c r="U1167" i="4"/>
  <c r="K1167" i="4"/>
  <c r="E1167" i="4"/>
  <c r="B1167" i="4"/>
  <c r="U1166" i="4"/>
  <c r="K1166" i="4"/>
  <c r="E1166" i="4"/>
  <c r="B1166" i="4"/>
  <c r="U1165" i="4"/>
  <c r="K1165" i="4"/>
  <c r="E1165" i="4"/>
  <c r="B1165" i="4"/>
  <c r="U1164" i="4"/>
  <c r="K1164" i="4"/>
  <c r="E1164" i="4"/>
  <c r="B1164" i="4"/>
  <c r="U1163" i="4"/>
  <c r="K1163" i="4"/>
  <c r="E1163" i="4"/>
  <c r="B1163" i="4"/>
  <c r="U1162" i="4"/>
  <c r="K1162" i="4"/>
  <c r="E1162" i="4"/>
  <c r="B1162" i="4"/>
  <c r="U1161" i="4"/>
  <c r="K1161" i="4"/>
  <c r="E1161" i="4"/>
  <c r="B1161" i="4"/>
  <c r="U1160" i="4"/>
  <c r="K1160" i="4"/>
  <c r="E1160" i="4"/>
  <c r="B1160" i="4"/>
  <c r="U1159" i="4"/>
  <c r="K1159" i="4"/>
  <c r="E1159" i="4"/>
  <c r="B1159" i="4"/>
  <c r="U1158" i="4"/>
  <c r="K1158" i="4"/>
  <c r="E1158" i="4"/>
  <c r="B1158" i="4"/>
  <c r="U1157" i="4"/>
  <c r="K1157" i="4"/>
  <c r="E1157" i="4"/>
  <c r="B1157" i="4"/>
  <c r="U1156" i="4"/>
  <c r="K1156" i="4"/>
  <c r="E1156" i="4"/>
  <c r="B1156" i="4"/>
  <c r="U1155" i="4"/>
  <c r="K1155" i="4"/>
  <c r="E1155" i="4"/>
  <c r="B1155" i="4"/>
  <c r="U1154" i="4"/>
  <c r="K1154" i="4"/>
  <c r="E1154" i="4"/>
  <c r="B1154" i="4"/>
  <c r="U1153" i="4"/>
  <c r="K1153" i="4"/>
  <c r="E1153" i="4"/>
  <c r="B1153" i="4"/>
  <c r="U1152" i="4"/>
  <c r="K1152" i="4"/>
  <c r="E1152" i="4"/>
  <c r="B1152" i="4"/>
  <c r="U1151" i="4"/>
  <c r="K1151" i="4"/>
  <c r="E1151" i="4"/>
  <c r="B1151" i="4"/>
  <c r="U1150" i="4"/>
  <c r="K1150" i="4"/>
  <c r="E1150" i="4"/>
  <c r="B1150" i="4"/>
  <c r="U1149" i="4"/>
  <c r="K1149" i="4"/>
  <c r="E1149" i="4"/>
  <c r="B1149" i="4"/>
  <c r="U1148" i="4"/>
  <c r="K1148" i="4"/>
  <c r="E1148" i="4"/>
  <c r="B1148" i="4"/>
  <c r="U1147" i="4"/>
  <c r="K1147" i="4"/>
  <c r="E1147" i="4"/>
  <c r="B1147" i="4"/>
  <c r="U1146" i="4"/>
  <c r="K1146" i="4"/>
  <c r="E1146" i="4"/>
  <c r="B1146" i="4"/>
  <c r="U1145" i="4"/>
  <c r="K1145" i="4"/>
  <c r="E1145" i="4"/>
  <c r="B1145" i="4"/>
  <c r="U1144" i="4"/>
  <c r="K1144" i="4"/>
  <c r="E1144" i="4"/>
  <c r="B1144" i="4"/>
  <c r="U1143" i="4"/>
  <c r="K1143" i="4"/>
  <c r="E1143" i="4"/>
  <c r="B1143" i="4"/>
  <c r="U1142" i="4"/>
  <c r="K1142" i="4"/>
  <c r="E1142" i="4"/>
  <c r="B1142" i="4"/>
  <c r="U1141" i="4"/>
  <c r="K1141" i="4"/>
  <c r="E1141" i="4"/>
  <c r="B1141" i="4"/>
  <c r="U1140" i="4"/>
  <c r="K1140" i="4"/>
  <c r="E1140" i="4"/>
  <c r="B1140" i="4"/>
  <c r="U1139" i="4"/>
  <c r="K1139" i="4"/>
  <c r="E1139" i="4"/>
  <c r="B1139" i="4"/>
  <c r="U1138" i="4"/>
  <c r="K1138" i="4"/>
  <c r="E1138" i="4"/>
  <c r="B1138" i="4"/>
  <c r="U1137" i="4"/>
  <c r="K1137" i="4"/>
  <c r="E1137" i="4"/>
  <c r="B1137" i="4"/>
  <c r="U1136" i="4"/>
  <c r="K1136" i="4"/>
  <c r="E1136" i="4"/>
  <c r="B1136" i="4"/>
  <c r="U1135" i="4"/>
  <c r="K1135" i="4"/>
  <c r="E1135" i="4"/>
  <c r="B1135" i="4"/>
  <c r="U1134" i="4"/>
  <c r="K1134" i="4"/>
  <c r="E1134" i="4"/>
  <c r="B1134" i="4"/>
  <c r="U1133" i="4"/>
  <c r="K1133" i="4"/>
  <c r="E1133" i="4"/>
  <c r="B1133" i="4"/>
  <c r="U1132" i="4"/>
  <c r="K1132" i="4"/>
  <c r="E1132" i="4"/>
  <c r="B1132" i="4"/>
  <c r="U1131" i="4"/>
  <c r="K1131" i="4"/>
  <c r="E1131" i="4"/>
  <c r="B1131" i="4"/>
  <c r="U1130" i="4"/>
  <c r="K1130" i="4"/>
  <c r="E1130" i="4"/>
  <c r="B1130" i="4"/>
  <c r="U1129" i="4"/>
  <c r="K1129" i="4"/>
  <c r="E1129" i="4"/>
  <c r="B1129" i="4"/>
  <c r="U1128" i="4"/>
  <c r="K1128" i="4"/>
  <c r="E1128" i="4"/>
  <c r="B1128" i="4"/>
  <c r="U1127" i="4"/>
  <c r="K1127" i="4"/>
  <c r="E1127" i="4"/>
  <c r="B1127" i="4"/>
  <c r="U1126" i="4"/>
  <c r="K1126" i="4"/>
  <c r="E1126" i="4"/>
  <c r="B1126" i="4"/>
  <c r="U1125" i="4"/>
  <c r="K1125" i="4"/>
  <c r="E1125" i="4"/>
  <c r="B1125" i="4"/>
  <c r="U1124" i="4"/>
  <c r="K1124" i="4"/>
  <c r="E1124" i="4"/>
  <c r="B1124" i="4"/>
  <c r="U1123" i="4"/>
  <c r="K1123" i="4"/>
  <c r="E1123" i="4"/>
  <c r="B1123" i="4"/>
  <c r="U1122" i="4"/>
  <c r="K1122" i="4"/>
  <c r="E1122" i="4"/>
  <c r="B1122" i="4"/>
  <c r="U1121" i="4"/>
  <c r="K1121" i="4"/>
  <c r="E1121" i="4"/>
  <c r="B1121" i="4"/>
  <c r="U1120" i="4"/>
  <c r="K1120" i="4"/>
  <c r="E1120" i="4"/>
  <c r="B1120" i="4"/>
  <c r="U1119" i="4"/>
  <c r="K1119" i="4"/>
  <c r="E1119" i="4"/>
  <c r="B1119" i="4"/>
  <c r="U1118" i="4"/>
  <c r="K1118" i="4"/>
  <c r="E1118" i="4"/>
  <c r="B1118" i="4"/>
  <c r="U1117" i="4"/>
  <c r="K1117" i="4"/>
  <c r="E1117" i="4"/>
  <c r="B1117" i="4"/>
  <c r="U1116" i="4"/>
  <c r="K1116" i="4"/>
  <c r="E1116" i="4"/>
  <c r="B1116" i="4"/>
  <c r="U1115" i="4"/>
  <c r="K1115" i="4"/>
  <c r="E1115" i="4"/>
  <c r="B1115" i="4"/>
  <c r="U1114" i="4"/>
  <c r="K1114" i="4"/>
  <c r="E1114" i="4"/>
  <c r="B1114" i="4"/>
  <c r="U1113" i="4"/>
  <c r="K1113" i="4"/>
  <c r="E1113" i="4"/>
  <c r="B1113" i="4"/>
  <c r="U1112" i="4"/>
  <c r="K1112" i="4"/>
  <c r="E1112" i="4"/>
  <c r="B1112" i="4"/>
  <c r="U1111" i="4"/>
  <c r="K1111" i="4"/>
  <c r="E1111" i="4"/>
  <c r="B1111" i="4"/>
  <c r="U1110" i="4"/>
  <c r="K1110" i="4"/>
  <c r="E1110" i="4"/>
  <c r="B1110" i="4"/>
  <c r="U1109" i="4"/>
  <c r="K1109" i="4"/>
  <c r="E1109" i="4"/>
  <c r="B1109" i="4"/>
  <c r="U1108" i="4"/>
  <c r="K1108" i="4"/>
  <c r="E1108" i="4"/>
  <c r="B1108" i="4"/>
  <c r="U1107" i="4"/>
  <c r="K1107" i="4"/>
  <c r="E1107" i="4"/>
  <c r="B1107" i="4"/>
  <c r="U1106" i="4"/>
  <c r="K1106" i="4"/>
  <c r="E1106" i="4"/>
  <c r="B1106" i="4"/>
  <c r="U1105" i="4"/>
  <c r="K1105" i="4"/>
  <c r="E1105" i="4"/>
  <c r="B1105" i="4"/>
  <c r="U1104" i="4"/>
  <c r="K1104" i="4"/>
  <c r="E1104" i="4"/>
  <c r="B1104" i="4"/>
  <c r="U1103" i="4"/>
  <c r="K1103" i="4"/>
  <c r="E1103" i="4"/>
  <c r="B1103" i="4"/>
  <c r="U1102" i="4"/>
  <c r="K1102" i="4"/>
  <c r="E1102" i="4"/>
  <c r="B1102" i="4"/>
  <c r="U1101" i="4"/>
  <c r="K1101" i="4"/>
  <c r="E1101" i="4"/>
  <c r="B1101" i="4"/>
  <c r="U1100" i="4"/>
  <c r="K1100" i="4"/>
  <c r="E1100" i="4"/>
  <c r="B1100" i="4"/>
  <c r="U1099" i="4"/>
  <c r="K1099" i="4"/>
  <c r="E1099" i="4"/>
  <c r="B1099" i="4"/>
  <c r="U1098" i="4"/>
  <c r="K1098" i="4"/>
  <c r="E1098" i="4"/>
  <c r="B1098" i="4"/>
  <c r="U1097" i="4"/>
  <c r="K1097" i="4"/>
  <c r="E1097" i="4"/>
  <c r="B1097" i="4"/>
  <c r="U1096" i="4"/>
  <c r="K1096" i="4"/>
  <c r="E1096" i="4"/>
  <c r="B1096" i="4"/>
  <c r="U1095" i="4"/>
  <c r="K1095" i="4"/>
  <c r="E1095" i="4"/>
  <c r="B1095" i="4"/>
  <c r="U1094" i="4"/>
  <c r="K1094" i="4"/>
  <c r="E1094" i="4"/>
  <c r="B1094" i="4"/>
  <c r="U1093" i="4"/>
  <c r="K1093" i="4"/>
  <c r="E1093" i="4"/>
  <c r="B1093" i="4"/>
  <c r="U1092" i="4"/>
  <c r="K1092" i="4"/>
  <c r="E1092" i="4"/>
  <c r="B1092" i="4"/>
  <c r="U1091" i="4"/>
  <c r="K1091" i="4"/>
  <c r="E1091" i="4"/>
  <c r="B1091" i="4"/>
  <c r="U1090" i="4"/>
  <c r="K1090" i="4"/>
  <c r="E1090" i="4"/>
  <c r="B1090" i="4"/>
  <c r="U1089" i="4"/>
  <c r="K1089" i="4"/>
  <c r="E1089" i="4"/>
  <c r="B1089" i="4"/>
  <c r="U1088" i="4"/>
  <c r="K1088" i="4"/>
  <c r="E1088" i="4"/>
  <c r="B1088" i="4"/>
  <c r="U1087" i="4"/>
  <c r="K1087" i="4"/>
  <c r="E1087" i="4"/>
  <c r="B1087" i="4"/>
  <c r="U1086" i="4"/>
  <c r="K1086" i="4"/>
  <c r="E1086" i="4"/>
  <c r="B1086" i="4"/>
  <c r="U1085" i="4"/>
  <c r="K1085" i="4"/>
  <c r="E1085" i="4"/>
  <c r="B1085" i="4"/>
  <c r="U1084" i="4"/>
  <c r="K1084" i="4"/>
  <c r="E1084" i="4"/>
  <c r="B1084" i="4"/>
  <c r="U1083" i="4"/>
  <c r="K1083" i="4"/>
  <c r="E1083" i="4"/>
  <c r="B1083" i="4"/>
  <c r="U1082" i="4"/>
  <c r="K1082" i="4"/>
  <c r="E1082" i="4"/>
  <c r="B1082" i="4"/>
  <c r="U1081" i="4"/>
  <c r="K1081" i="4"/>
  <c r="E1081" i="4"/>
  <c r="B1081" i="4"/>
  <c r="U1080" i="4"/>
  <c r="K1080" i="4"/>
  <c r="E1080" i="4"/>
  <c r="B1080" i="4"/>
  <c r="U1079" i="4"/>
  <c r="K1079" i="4"/>
  <c r="E1079" i="4"/>
  <c r="B1079" i="4"/>
  <c r="U1078" i="4"/>
  <c r="K1078" i="4"/>
  <c r="E1078" i="4"/>
  <c r="B1078" i="4"/>
  <c r="U1077" i="4"/>
  <c r="K1077" i="4"/>
  <c r="E1077" i="4"/>
  <c r="B1077" i="4"/>
  <c r="U1076" i="4"/>
  <c r="K1076" i="4"/>
  <c r="E1076" i="4"/>
  <c r="B1076" i="4"/>
  <c r="U1075" i="4"/>
  <c r="K1075" i="4"/>
  <c r="E1075" i="4"/>
  <c r="B1075" i="4"/>
  <c r="U1074" i="4"/>
  <c r="K1074" i="4"/>
  <c r="E1074" i="4"/>
  <c r="B1074" i="4"/>
  <c r="U1073" i="4"/>
  <c r="K1073" i="4"/>
  <c r="E1073" i="4"/>
  <c r="B1073" i="4"/>
  <c r="U1072" i="4"/>
  <c r="K1072" i="4"/>
  <c r="E1072" i="4"/>
  <c r="B1072" i="4"/>
  <c r="U1071" i="4"/>
  <c r="K1071" i="4"/>
  <c r="E1071" i="4"/>
  <c r="B1071" i="4"/>
  <c r="U1070" i="4"/>
  <c r="K1070" i="4"/>
  <c r="E1070" i="4"/>
  <c r="B1070" i="4"/>
  <c r="U1069" i="4"/>
  <c r="K1069" i="4"/>
  <c r="E1069" i="4"/>
  <c r="B1069" i="4"/>
  <c r="U1068" i="4"/>
  <c r="K1068" i="4"/>
  <c r="E1068" i="4"/>
  <c r="B1068" i="4"/>
  <c r="U1067" i="4"/>
  <c r="K1067" i="4"/>
  <c r="E1067" i="4"/>
  <c r="B1067" i="4"/>
  <c r="U1066" i="4"/>
  <c r="K1066" i="4"/>
  <c r="E1066" i="4"/>
  <c r="B1066" i="4"/>
  <c r="U1065" i="4"/>
  <c r="K1065" i="4"/>
  <c r="E1065" i="4"/>
  <c r="B1065" i="4"/>
  <c r="U1064" i="4"/>
  <c r="K1064" i="4"/>
  <c r="E1064" i="4"/>
  <c r="B1064" i="4"/>
  <c r="U1063" i="4"/>
  <c r="K1063" i="4"/>
  <c r="E1063" i="4"/>
  <c r="B1063" i="4"/>
  <c r="U1062" i="4"/>
  <c r="K1062" i="4"/>
  <c r="E1062" i="4"/>
  <c r="B1062" i="4"/>
  <c r="U1061" i="4"/>
  <c r="K1061" i="4"/>
  <c r="E1061" i="4"/>
  <c r="B1061" i="4"/>
  <c r="U1060" i="4"/>
  <c r="K1060" i="4"/>
  <c r="E1060" i="4"/>
  <c r="B1060" i="4"/>
  <c r="U1059" i="4"/>
  <c r="K1059" i="4"/>
  <c r="E1059" i="4"/>
  <c r="B1059" i="4"/>
  <c r="U1058" i="4"/>
  <c r="K1058" i="4"/>
  <c r="E1058" i="4"/>
  <c r="B1058" i="4"/>
  <c r="U1057" i="4"/>
  <c r="K1057" i="4"/>
  <c r="E1057" i="4"/>
  <c r="B1057" i="4"/>
  <c r="U1056" i="4"/>
  <c r="K1056" i="4"/>
  <c r="E1056" i="4"/>
  <c r="B1056" i="4"/>
  <c r="U1055" i="4"/>
  <c r="K1055" i="4"/>
  <c r="E1055" i="4"/>
  <c r="B1055" i="4"/>
  <c r="U1054" i="4"/>
  <c r="K1054" i="4"/>
  <c r="E1054" i="4"/>
  <c r="B1054" i="4"/>
  <c r="U1053" i="4"/>
  <c r="K1053" i="4"/>
  <c r="H1053" i="4"/>
  <c r="E1053" i="4"/>
  <c r="B1053" i="4"/>
  <c r="U1052" i="4"/>
  <c r="K1052" i="4"/>
  <c r="E1052" i="4"/>
  <c r="B1052" i="4"/>
  <c r="U1051" i="4"/>
  <c r="K1051" i="4"/>
  <c r="E1051" i="4"/>
  <c r="B1051" i="4"/>
  <c r="U1050" i="4"/>
  <c r="K1050" i="4"/>
  <c r="E1050" i="4"/>
  <c r="B1050" i="4"/>
  <c r="U1049" i="4"/>
  <c r="K1049" i="4"/>
  <c r="E1049" i="4"/>
  <c r="B1049" i="4"/>
  <c r="U1048" i="4"/>
  <c r="K1048" i="4"/>
  <c r="E1048" i="4"/>
  <c r="B1048" i="4"/>
  <c r="U1047" i="4"/>
  <c r="K1047" i="4"/>
  <c r="E1047" i="4"/>
  <c r="B1047" i="4"/>
  <c r="U1046" i="4"/>
  <c r="K1046" i="4"/>
  <c r="E1046" i="4"/>
  <c r="B1046" i="4"/>
  <c r="U1045" i="4"/>
  <c r="K1045" i="4"/>
  <c r="E1045" i="4"/>
  <c r="B1045" i="4"/>
  <c r="U1044" i="4"/>
  <c r="K1044" i="4"/>
  <c r="E1044" i="4"/>
  <c r="B1044" i="4"/>
  <c r="U1043" i="4"/>
  <c r="K1043" i="4"/>
  <c r="E1043" i="4"/>
  <c r="B1043" i="4"/>
  <c r="U1042" i="4"/>
  <c r="K1042" i="4"/>
  <c r="E1042" i="4"/>
  <c r="B1042" i="4"/>
  <c r="U1041" i="4"/>
  <c r="K1041" i="4"/>
  <c r="E1041" i="4"/>
  <c r="B1041" i="4"/>
  <c r="U1040" i="4"/>
  <c r="K1040" i="4"/>
  <c r="E1040" i="4"/>
  <c r="B1040" i="4"/>
  <c r="U1039" i="4"/>
  <c r="K1039" i="4"/>
  <c r="E1039" i="4"/>
  <c r="B1039" i="4"/>
  <c r="U1038" i="4"/>
  <c r="K1038" i="4"/>
  <c r="E1038" i="4"/>
  <c r="B1038" i="4"/>
  <c r="U1037" i="4"/>
  <c r="K1037" i="4"/>
  <c r="E1037" i="4"/>
  <c r="B1037" i="4"/>
  <c r="U1036" i="4"/>
  <c r="K1036" i="4"/>
  <c r="E1036" i="4"/>
  <c r="B1036" i="4"/>
  <c r="U1035" i="4"/>
  <c r="K1035" i="4"/>
  <c r="E1035" i="4"/>
  <c r="B1035" i="4"/>
  <c r="U1034" i="4"/>
  <c r="K1034" i="4"/>
  <c r="E1034" i="4"/>
  <c r="B1034" i="4"/>
  <c r="U1033" i="4"/>
  <c r="K1033" i="4"/>
  <c r="E1033" i="4"/>
  <c r="B1033" i="4"/>
  <c r="U1032" i="4"/>
  <c r="K1032" i="4"/>
  <c r="E1032" i="4"/>
  <c r="B1032" i="4"/>
  <c r="U1031" i="4"/>
  <c r="K1031" i="4"/>
  <c r="E1031" i="4"/>
  <c r="B1031" i="4"/>
  <c r="U1030" i="4"/>
  <c r="K1030" i="4"/>
  <c r="E1030" i="4"/>
  <c r="B1030" i="4"/>
  <c r="U1029" i="4"/>
  <c r="K1029" i="4"/>
  <c r="E1029" i="4"/>
  <c r="B1029" i="4"/>
  <c r="U1028" i="4"/>
  <c r="K1028" i="4"/>
  <c r="E1028" i="4"/>
  <c r="B1028" i="4"/>
  <c r="U1027" i="4"/>
  <c r="K1027" i="4"/>
  <c r="E1027" i="4"/>
  <c r="B1027" i="4"/>
  <c r="U1026" i="4"/>
  <c r="K1026" i="4"/>
  <c r="E1026" i="4"/>
  <c r="B1026" i="4"/>
  <c r="U1025" i="4"/>
  <c r="K1025" i="4"/>
  <c r="E1025" i="4"/>
  <c r="B1025" i="4"/>
  <c r="U1024" i="4"/>
  <c r="K1024" i="4"/>
  <c r="E1024" i="4"/>
  <c r="B1024" i="4"/>
  <c r="U1023" i="4"/>
  <c r="K1023" i="4"/>
  <c r="E1023" i="4"/>
  <c r="B1023" i="4"/>
  <c r="U1022" i="4"/>
  <c r="K1022" i="4"/>
  <c r="E1022" i="4"/>
  <c r="B1022" i="4"/>
  <c r="U1021" i="4"/>
  <c r="K1021" i="4"/>
  <c r="E1021" i="4"/>
  <c r="B1021" i="4"/>
  <c r="U1020" i="4"/>
  <c r="K1020" i="4"/>
  <c r="E1020" i="4"/>
  <c r="B1020" i="4"/>
  <c r="U1019" i="4"/>
  <c r="K1019" i="4"/>
  <c r="E1019" i="4"/>
  <c r="B1019" i="4"/>
  <c r="U1018" i="4"/>
  <c r="K1018" i="4"/>
  <c r="E1018" i="4"/>
  <c r="B1018" i="4"/>
  <c r="U1017" i="4"/>
  <c r="K1017" i="4"/>
  <c r="E1017" i="4"/>
  <c r="B1017" i="4"/>
  <c r="U1016" i="4"/>
  <c r="K1016" i="4"/>
  <c r="E1016" i="4"/>
  <c r="B1016" i="4"/>
  <c r="U1015" i="4"/>
  <c r="K1015" i="4"/>
  <c r="E1015" i="4"/>
  <c r="B1015" i="4"/>
  <c r="U1014" i="4"/>
  <c r="K1014" i="4"/>
  <c r="E1014" i="4"/>
  <c r="B1014" i="4"/>
  <c r="U1013" i="4"/>
  <c r="K1013" i="4"/>
  <c r="E1013" i="4"/>
  <c r="B1013" i="4"/>
  <c r="U1012" i="4"/>
  <c r="K1012" i="4"/>
  <c r="E1012" i="4"/>
  <c r="B1012" i="4"/>
  <c r="U1011" i="4"/>
  <c r="K1011" i="4"/>
  <c r="E1011" i="4"/>
  <c r="B1011" i="4"/>
  <c r="U1010" i="4"/>
  <c r="K1010" i="4"/>
  <c r="E1010" i="4"/>
  <c r="B1010" i="4"/>
  <c r="U1009" i="4"/>
  <c r="K1009" i="4"/>
  <c r="E1009" i="4"/>
  <c r="B1009" i="4"/>
  <c r="U1008" i="4"/>
  <c r="K1008" i="4"/>
  <c r="E1008" i="4"/>
  <c r="B1008" i="4"/>
  <c r="U1007" i="4"/>
  <c r="K1007" i="4"/>
  <c r="E1007" i="4"/>
  <c r="B1007" i="4"/>
  <c r="U1006" i="4"/>
  <c r="K1006" i="4"/>
  <c r="E1006" i="4"/>
  <c r="B1006" i="4"/>
  <c r="U1005" i="4"/>
  <c r="K1005" i="4"/>
  <c r="E1005" i="4"/>
  <c r="B1005" i="4"/>
  <c r="U1004" i="4"/>
  <c r="K1004" i="4"/>
  <c r="E1004" i="4"/>
  <c r="B1004" i="4"/>
  <c r="U1003" i="4"/>
  <c r="K1003" i="4"/>
  <c r="E1003" i="4"/>
  <c r="B1003" i="4"/>
  <c r="U1002" i="4"/>
  <c r="K1002" i="4"/>
  <c r="E1002" i="4"/>
  <c r="B1002" i="4"/>
  <c r="U1001" i="4"/>
  <c r="K1001" i="4"/>
  <c r="E1001" i="4"/>
  <c r="B1001" i="4"/>
  <c r="U1000" i="4"/>
  <c r="K1000" i="4"/>
  <c r="E1000" i="4"/>
  <c r="B1000" i="4"/>
  <c r="U999" i="4"/>
  <c r="K999" i="4"/>
  <c r="E999" i="4"/>
  <c r="B999" i="4"/>
  <c r="U998" i="4"/>
  <c r="K998" i="4"/>
  <c r="E998" i="4"/>
  <c r="B998" i="4"/>
  <c r="U997" i="4"/>
  <c r="K997" i="4"/>
  <c r="E997" i="4"/>
  <c r="B997" i="4"/>
  <c r="U996" i="4"/>
  <c r="K996" i="4"/>
  <c r="E996" i="4"/>
  <c r="B996" i="4"/>
  <c r="U995" i="4"/>
  <c r="K995" i="4"/>
  <c r="E995" i="4"/>
  <c r="B995" i="4"/>
  <c r="U994" i="4"/>
  <c r="K994" i="4"/>
  <c r="E994" i="4"/>
  <c r="B994" i="4"/>
  <c r="U993" i="4"/>
  <c r="K993" i="4"/>
  <c r="E993" i="4"/>
  <c r="B993" i="4"/>
  <c r="U992" i="4"/>
  <c r="K992" i="4"/>
  <c r="E992" i="4"/>
  <c r="B992" i="4"/>
  <c r="U991" i="4"/>
  <c r="K991" i="4"/>
  <c r="E991" i="4"/>
  <c r="B991" i="4"/>
  <c r="U990" i="4"/>
  <c r="K990" i="4"/>
  <c r="E990" i="4"/>
  <c r="B990" i="4"/>
  <c r="U989" i="4"/>
  <c r="K989" i="4"/>
  <c r="E989" i="4"/>
  <c r="B989" i="4"/>
  <c r="U988" i="4"/>
  <c r="K988" i="4"/>
  <c r="E988" i="4"/>
  <c r="B988" i="4"/>
  <c r="U987" i="4"/>
  <c r="K987" i="4"/>
  <c r="E987" i="4"/>
  <c r="B987" i="4"/>
  <c r="U986" i="4"/>
  <c r="K986" i="4"/>
  <c r="E986" i="4"/>
  <c r="B986" i="4"/>
  <c r="U985" i="4"/>
  <c r="K985" i="4"/>
  <c r="E985" i="4"/>
  <c r="B985" i="4"/>
  <c r="U984" i="4"/>
  <c r="K984" i="4"/>
  <c r="E984" i="4"/>
  <c r="B984" i="4"/>
  <c r="U983" i="4"/>
  <c r="K983" i="4"/>
  <c r="E983" i="4"/>
  <c r="B983" i="4"/>
  <c r="U982" i="4"/>
  <c r="K982" i="4"/>
  <c r="E982" i="4"/>
  <c r="B982" i="4"/>
  <c r="U981" i="4"/>
  <c r="K981" i="4"/>
  <c r="E981" i="4"/>
  <c r="B981" i="4"/>
  <c r="U980" i="4"/>
  <c r="K980" i="4"/>
  <c r="E980" i="4"/>
  <c r="B980" i="4"/>
  <c r="U979" i="4"/>
  <c r="K979" i="4"/>
  <c r="E979" i="4"/>
  <c r="B979" i="4"/>
  <c r="U978" i="4"/>
  <c r="K978" i="4"/>
  <c r="E978" i="4"/>
  <c r="B978" i="4"/>
  <c r="U977" i="4"/>
  <c r="K977" i="4"/>
  <c r="E977" i="4"/>
  <c r="B977" i="4"/>
  <c r="U976" i="4"/>
  <c r="K976" i="4"/>
  <c r="E976" i="4"/>
  <c r="B976" i="4"/>
  <c r="U975" i="4"/>
  <c r="K975" i="4"/>
  <c r="E975" i="4"/>
  <c r="B975" i="4"/>
  <c r="U974" i="4"/>
  <c r="K974" i="4"/>
  <c r="E974" i="4"/>
  <c r="B974" i="4"/>
  <c r="U973" i="4"/>
  <c r="K973" i="4"/>
  <c r="E973" i="4"/>
  <c r="B973" i="4"/>
  <c r="U972" i="4"/>
  <c r="K972" i="4"/>
  <c r="E972" i="4"/>
  <c r="B972" i="4"/>
  <c r="U971" i="4"/>
  <c r="K971" i="4"/>
  <c r="E971" i="4"/>
  <c r="B971" i="4"/>
  <c r="U970" i="4"/>
  <c r="K970" i="4"/>
  <c r="E970" i="4"/>
  <c r="B970" i="4"/>
  <c r="U969" i="4"/>
  <c r="K969" i="4"/>
  <c r="E969" i="4"/>
  <c r="B969" i="4"/>
  <c r="U968" i="4"/>
  <c r="K968" i="4"/>
  <c r="E968" i="4"/>
  <c r="B968" i="4"/>
  <c r="U967" i="4"/>
  <c r="K967" i="4"/>
  <c r="E967" i="4"/>
  <c r="B967" i="4"/>
  <c r="U966" i="4"/>
  <c r="K966" i="4"/>
  <c r="E966" i="4"/>
  <c r="B966" i="4"/>
  <c r="U965" i="4"/>
  <c r="K965" i="4"/>
  <c r="E965" i="4"/>
  <c r="B965" i="4"/>
  <c r="U964" i="4"/>
  <c r="K964" i="4"/>
  <c r="E964" i="4"/>
  <c r="B964" i="4"/>
  <c r="U963" i="4"/>
  <c r="K963" i="4"/>
  <c r="E963" i="4"/>
  <c r="B963" i="4"/>
  <c r="U962" i="4"/>
  <c r="K962" i="4"/>
  <c r="E962" i="4"/>
  <c r="B962" i="4"/>
  <c r="U961" i="4"/>
  <c r="K961" i="4"/>
  <c r="E961" i="4"/>
  <c r="B961" i="4"/>
  <c r="U960" i="4"/>
  <c r="K960" i="4"/>
  <c r="E960" i="4"/>
  <c r="B960" i="4"/>
  <c r="U959" i="4"/>
  <c r="K959" i="4"/>
  <c r="E959" i="4"/>
  <c r="B959" i="4"/>
  <c r="U958" i="4"/>
  <c r="K958" i="4"/>
  <c r="E958" i="4"/>
  <c r="B958" i="4"/>
  <c r="U957" i="4"/>
  <c r="K957" i="4"/>
  <c r="E957" i="4"/>
  <c r="B957" i="4"/>
  <c r="U956" i="4"/>
  <c r="K956" i="4"/>
  <c r="E956" i="4"/>
  <c r="B956" i="4"/>
  <c r="U955" i="4"/>
  <c r="K955" i="4"/>
  <c r="E955" i="4"/>
  <c r="B955" i="4"/>
  <c r="U954" i="4"/>
  <c r="K954" i="4"/>
  <c r="E954" i="4"/>
  <c r="B954" i="4"/>
  <c r="K953" i="4"/>
  <c r="E953" i="4"/>
  <c r="B953" i="4"/>
  <c r="U952" i="4"/>
  <c r="K952" i="4"/>
  <c r="E952" i="4"/>
  <c r="B952" i="4"/>
  <c r="U951" i="4"/>
  <c r="K951" i="4"/>
  <c r="E951" i="4"/>
  <c r="B951" i="4"/>
  <c r="U950" i="4"/>
  <c r="K950" i="4"/>
  <c r="E950" i="4"/>
  <c r="B950" i="4"/>
  <c r="U949" i="4"/>
  <c r="K949" i="4"/>
  <c r="E949" i="4"/>
  <c r="B949" i="4"/>
  <c r="U948" i="4"/>
  <c r="K948" i="4"/>
  <c r="E948" i="4"/>
  <c r="B948" i="4"/>
  <c r="U947" i="4"/>
  <c r="K947" i="4"/>
  <c r="E947" i="4"/>
  <c r="B947" i="4"/>
  <c r="U946" i="4"/>
  <c r="K946" i="4"/>
  <c r="E946" i="4"/>
  <c r="B946" i="4"/>
  <c r="U945" i="4"/>
  <c r="K945" i="4"/>
  <c r="E945" i="4"/>
  <c r="B945" i="4"/>
  <c r="U944" i="4"/>
  <c r="K944" i="4"/>
  <c r="E944" i="4"/>
  <c r="B944" i="4"/>
  <c r="U943" i="4"/>
  <c r="K943" i="4"/>
  <c r="E943" i="4"/>
  <c r="B943" i="4"/>
  <c r="U942" i="4"/>
  <c r="K942" i="4"/>
  <c r="E942" i="4"/>
  <c r="B942" i="4"/>
  <c r="U941" i="4"/>
  <c r="K941" i="4"/>
  <c r="E941" i="4"/>
  <c r="B941" i="4"/>
  <c r="U940" i="4"/>
  <c r="K940" i="4"/>
  <c r="E940" i="4"/>
  <c r="B940" i="4"/>
  <c r="U939" i="4"/>
  <c r="K939" i="4"/>
  <c r="E939" i="4"/>
  <c r="B939" i="4"/>
  <c r="U938" i="4"/>
  <c r="K938" i="4"/>
  <c r="E938" i="4"/>
  <c r="B938" i="4"/>
  <c r="U937" i="4"/>
  <c r="K937" i="4"/>
  <c r="E937" i="4"/>
  <c r="B937" i="4"/>
  <c r="U936" i="4"/>
  <c r="K936" i="4"/>
  <c r="E936" i="4"/>
  <c r="B936" i="4"/>
  <c r="U935" i="4"/>
  <c r="K935" i="4"/>
  <c r="E935" i="4"/>
  <c r="B935" i="4"/>
  <c r="U934" i="4"/>
  <c r="K934" i="4"/>
  <c r="E934" i="4"/>
  <c r="B934" i="4"/>
  <c r="U933" i="4"/>
  <c r="K933" i="4"/>
  <c r="E933" i="4"/>
  <c r="B933" i="4"/>
  <c r="U932" i="4"/>
  <c r="K932" i="4"/>
  <c r="E932" i="4"/>
  <c r="B932" i="4"/>
  <c r="U931" i="4"/>
  <c r="K931" i="4"/>
  <c r="E931" i="4"/>
  <c r="B931" i="4"/>
  <c r="U930" i="4"/>
  <c r="K930" i="4"/>
  <c r="E930" i="4"/>
  <c r="B930" i="4"/>
  <c r="U929" i="4"/>
  <c r="K929" i="4"/>
  <c r="E929" i="4"/>
  <c r="B929" i="4"/>
  <c r="U928" i="4"/>
  <c r="K928" i="4"/>
  <c r="E928" i="4"/>
  <c r="B928" i="4"/>
  <c r="U927" i="4"/>
  <c r="K927" i="4"/>
  <c r="E927" i="4"/>
  <c r="B927" i="4"/>
  <c r="U926" i="4"/>
  <c r="K926" i="4"/>
  <c r="E926" i="4"/>
  <c r="B926" i="4"/>
  <c r="U925" i="4"/>
  <c r="K925" i="4"/>
  <c r="E925" i="4"/>
  <c r="B925" i="4"/>
  <c r="U924" i="4"/>
  <c r="K924" i="4"/>
  <c r="E924" i="4"/>
  <c r="B924" i="4"/>
  <c r="U923" i="4"/>
  <c r="K923" i="4"/>
  <c r="E923" i="4"/>
  <c r="B923" i="4"/>
  <c r="U922" i="4"/>
  <c r="K922" i="4"/>
  <c r="E922" i="4"/>
  <c r="B922" i="4"/>
  <c r="U921" i="4"/>
  <c r="K921" i="4"/>
  <c r="E921" i="4"/>
  <c r="B921" i="4"/>
  <c r="U920" i="4"/>
  <c r="K920" i="4"/>
  <c r="E920" i="4"/>
  <c r="B920" i="4"/>
  <c r="U919" i="4"/>
  <c r="K919" i="4"/>
  <c r="E919" i="4"/>
  <c r="B919" i="4"/>
  <c r="U918" i="4"/>
  <c r="K918" i="4"/>
  <c r="E918" i="4"/>
  <c r="B918" i="4"/>
  <c r="U917" i="4"/>
  <c r="K917" i="4"/>
  <c r="E917" i="4"/>
  <c r="B917" i="4"/>
  <c r="U916" i="4"/>
  <c r="K916" i="4"/>
  <c r="E916" i="4"/>
  <c r="B916" i="4"/>
  <c r="U915" i="4"/>
  <c r="K915" i="4"/>
  <c r="E915" i="4"/>
  <c r="B915" i="4"/>
  <c r="U914" i="4"/>
  <c r="K914" i="4"/>
  <c r="E914" i="4"/>
  <c r="B914" i="4"/>
  <c r="U913" i="4"/>
  <c r="K913" i="4"/>
  <c r="E913" i="4"/>
  <c r="B913" i="4"/>
  <c r="U912" i="4"/>
  <c r="K912" i="4"/>
  <c r="E912" i="4"/>
  <c r="B912" i="4"/>
  <c r="U911" i="4"/>
  <c r="K911" i="4"/>
  <c r="E911" i="4"/>
  <c r="B911" i="4"/>
  <c r="U910" i="4"/>
  <c r="K910" i="4"/>
  <c r="E910" i="4"/>
  <c r="B910" i="4"/>
  <c r="U909" i="4"/>
  <c r="K909" i="4"/>
  <c r="E909" i="4"/>
  <c r="B909" i="4"/>
  <c r="U908" i="4"/>
  <c r="K908" i="4"/>
  <c r="E908" i="4"/>
  <c r="B908" i="4"/>
  <c r="U907" i="4"/>
  <c r="K907" i="4"/>
  <c r="E907" i="4"/>
  <c r="B907" i="4"/>
  <c r="U906" i="4"/>
  <c r="K906" i="4"/>
  <c r="E906" i="4"/>
  <c r="B906" i="4"/>
  <c r="U905" i="4"/>
  <c r="K905" i="4"/>
  <c r="E905" i="4"/>
  <c r="B905" i="4"/>
  <c r="U904" i="4"/>
  <c r="K904" i="4"/>
  <c r="E904" i="4"/>
  <c r="B904" i="4"/>
  <c r="U903" i="4"/>
  <c r="K903" i="4"/>
  <c r="E903" i="4"/>
  <c r="B903" i="4"/>
  <c r="U902" i="4"/>
  <c r="K902" i="4"/>
  <c r="E902" i="4"/>
  <c r="B902" i="4"/>
  <c r="U901" i="4"/>
  <c r="K901" i="4"/>
  <c r="E901" i="4"/>
  <c r="B901" i="4"/>
  <c r="U900" i="4"/>
  <c r="K900" i="4"/>
  <c r="E900" i="4"/>
  <c r="B900" i="4"/>
  <c r="U899" i="4"/>
  <c r="K899" i="4"/>
  <c r="E899" i="4"/>
  <c r="B899" i="4"/>
  <c r="U898" i="4"/>
  <c r="K898" i="4"/>
  <c r="E898" i="4"/>
  <c r="B898" i="4"/>
  <c r="U897" i="4"/>
  <c r="K897" i="4"/>
  <c r="E897" i="4"/>
  <c r="B897" i="4"/>
  <c r="U896" i="4"/>
  <c r="K896" i="4"/>
  <c r="E896" i="4"/>
  <c r="B896" i="4"/>
  <c r="U895" i="4"/>
  <c r="K895" i="4"/>
  <c r="E895" i="4"/>
  <c r="B895" i="4"/>
  <c r="U894" i="4"/>
  <c r="K894" i="4"/>
  <c r="E894" i="4"/>
  <c r="B894" i="4"/>
  <c r="U893" i="4"/>
  <c r="K893" i="4"/>
  <c r="E893" i="4"/>
  <c r="B893" i="4"/>
  <c r="U892" i="4"/>
  <c r="K892" i="4"/>
  <c r="E892" i="4"/>
  <c r="B892" i="4"/>
  <c r="U891" i="4"/>
  <c r="K891" i="4"/>
  <c r="E891" i="4"/>
  <c r="B891" i="4"/>
  <c r="U890" i="4"/>
  <c r="K890" i="4"/>
  <c r="E890" i="4"/>
  <c r="B890" i="4"/>
  <c r="U889" i="4"/>
  <c r="K889" i="4"/>
  <c r="E889" i="4"/>
  <c r="B889" i="4"/>
  <c r="U888" i="4"/>
  <c r="K888" i="4"/>
  <c r="E888" i="4"/>
  <c r="B888" i="4"/>
  <c r="U887" i="4"/>
  <c r="K887" i="4"/>
  <c r="E887" i="4"/>
  <c r="B887" i="4"/>
  <c r="U886" i="4"/>
  <c r="K886" i="4"/>
  <c r="E886" i="4"/>
  <c r="B886" i="4"/>
  <c r="U885" i="4"/>
  <c r="K885" i="4"/>
  <c r="E885" i="4"/>
  <c r="B885" i="4"/>
  <c r="U884" i="4"/>
  <c r="K884" i="4"/>
  <c r="E884" i="4"/>
  <c r="B884" i="4"/>
  <c r="U883" i="4"/>
  <c r="K883" i="4"/>
  <c r="E883" i="4"/>
  <c r="B883" i="4"/>
  <c r="U882" i="4"/>
  <c r="K882" i="4"/>
  <c r="E882" i="4"/>
  <c r="B882" i="4"/>
  <c r="U881" i="4"/>
  <c r="K881" i="4"/>
  <c r="E881" i="4"/>
  <c r="B881" i="4"/>
  <c r="U880" i="4"/>
  <c r="K880" i="4"/>
  <c r="E880" i="4"/>
  <c r="B880" i="4"/>
  <c r="U879" i="4"/>
  <c r="K879" i="4"/>
  <c r="E879" i="4"/>
  <c r="B879" i="4"/>
  <c r="U878" i="4"/>
  <c r="K878" i="4"/>
  <c r="E878" i="4"/>
  <c r="B878" i="4"/>
  <c r="K877" i="4"/>
  <c r="E877" i="4"/>
  <c r="B877" i="4"/>
  <c r="U876" i="4"/>
  <c r="K876" i="4"/>
  <c r="E876" i="4"/>
  <c r="B876" i="4"/>
  <c r="U875" i="4"/>
  <c r="K875" i="4"/>
  <c r="E875" i="4"/>
  <c r="B875" i="4"/>
  <c r="U874" i="4"/>
  <c r="K874" i="4"/>
  <c r="E874" i="4"/>
  <c r="B874" i="4"/>
  <c r="U873" i="4"/>
  <c r="K873" i="4"/>
  <c r="H873" i="4"/>
  <c r="E873" i="4"/>
  <c r="B873" i="4"/>
  <c r="U872" i="4"/>
  <c r="K872" i="4"/>
  <c r="E872" i="4"/>
  <c r="B872" i="4"/>
  <c r="U871" i="4"/>
  <c r="K871" i="4"/>
  <c r="E871" i="4"/>
  <c r="B871" i="4"/>
  <c r="U870" i="4"/>
  <c r="K870" i="4"/>
  <c r="E870" i="4"/>
  <c r="B870" i="4"/>
  <c r="U869" i="4"/>
  <c r="K869" i="4"/>
  <c r="E869" i="4"/>
  <c r="B869" i="4"/>
  <c r="U868" i="4"/>
  <c r="K868" i="4"/>
  <c r="E868" i="4"/>
  <c r="B868" i="4"/>
  <c r="U867" i="4"/>
  <c r="K867" i="4"/>
  <c r="E867" i="4"/>
  <c r="B867" i="4"/>
  <c r="U866" i="4"/>
  <c r="K866" i="4"/>
  <c r="E866" i="4"/>
  <c r="B866" i="4"/>
  <c r="U865" i="4"/>
  <c r="K865" i="4"/>
  <c r="E865" i="4"/>
  <c r="B865" i="4"/>
  <c r="U864" i="4"/>
  <c r="K864" i="4"/>
  <c r="E864" i="4"/>
  <c r="B864" i="4"/>
  <c r="U863" i="4"/>
  <c r="K863" i="4"/>
  <c r="E863" i="4"/>
  <c r="B863" i="4"/>
  <c r="U862" i="4"/>
  <c r="K862" i="4"/>
  <c r="E862" i="4"/>
  <c r="B862" i="4"/>
  <c r="U861" i="4"/>
  <c r="K861" i="4"/>
  <c r="E861" i="4"/>
  <c r="B861" i="4"/>
  <c r="U860" i="4"/>
  <c r="K860" i="4"/>
  <c r="E860" i="4"/>
  <c r="B860" i="4"/>
  <c r="U859" i="4"/>
  <c r="K859" i="4"/>
  <c r="E859" i="4"/>
  <c r="B859" i="4"/>
  <c r="U858" i="4"/>
  <c r="K858" i="4"/>
  <c r="E858" i="4"/>
  <c r="B858" i="4"/>
  <c r="U857" i="4"/>
  <c r="K857" i="4"/>
  <c r="E857" i="4"/>
  <c r="B857" i="4"/>
  <c r="U856" i="4"/>
  <c r="K856" i="4"/>
  <c r="E856" i="4"/>
  <c r="B856" i="4"/>
  <c r="U855" i="4"/>
  <c r="K855" i="4"/>
  <c r="E855" i="4"/>
  <c r="B855" i="4"/>
  <c r="U854" i="4"/>
  <c r="K854" i="4"/>
  <c r="E854" i="4"/>
  <c r="B854" i="4"/>
  <c r="U853" i="4"/>
  <c r="K853" i="4"/>
  <c r="E853" i="4"/>
  <c r="B853" i="4"/>
  <c r="U852" i="4"/>
  <c r="K852" i="4"/>
  <c r="E852" i="4"/>
  <c r="B852" i="4"/>
  <c r="U851" i="4"/>
  <c r="K851" i="4"/>
  <c r="E851" i="4"/>
  <c r="B851" i="4"/>
  <c r="U850" i="4"/>
  <c r="K850" i="4"/>
  <c r="E850" i="4"/>
  <c r="B850" i="4"/>
  <c r="U849" i="4"/>
  <c r="K849" i="4"/>
  <c r="E849" i="4"/>
  <c r="B849" i="4"/>
  <c r="U848" i="4"/>
  <c r="K848" i="4"/>
  <c r="E848" i="4"/>
  <c r="B848" i="4"/>
  <c r="U847" i="4"/>
  <c r="K847" i="4"/>
  <c r="E847" i="4"/>
  <c r="B847" i="4"/>
  <c r="U846" i="4"/>
  <c r="K846" i="4"/>
  <c r="E846" i="4"/>
  <c r="B846" i="4"/>
  <c r="U845" i="4"/>
  <c r="K845" i="4"/>
  <c r="E845" i="4"/>
  <c r="B845" i="4"/>
  <c r="U844" i="4"/>
  <c r="K844" i="4"/>
  <c r="E844" i="4"/>
  <c r="B844" i="4"/>
  <c r="U843" i="4"/>
  <c r="K843" i="4"/>
  <c r="E843" i="4"/>
  <c r="B843" i="4"/>
  <c r="U842" i="4"/>
  <c r="K842" i="4"/>
  <c r="E842" i="4"/>
  <c r="B842" i="4"/>
  <c r="U841" i="4"/>
  <c r="K841" i="4"/>
  <c r="E841" i="4"/>
  <c r="B841" i="4"/>
  <c r="U840" i="4"/>
  <c r="K840" i="4"/>
  <c r="E840" i="4"/>
  <c r="B840" i="4"/>
  <c r="U839" i="4"/>
  <c r="K839" i="4"/>
  <c r="E839" i="4"/>
  <c r="B839" i="4"/>
  <c r="U838" i="4"/>
  <c r="K838" i="4"/>
  <c r="E838" i="4"/>
  <c r="B838" i="4"/>
  <c r="U837" i="4"/>
  <c r="K837" i="4"/>
  <c r="E837" i="4"/>
  <c r="B837" i="4"/>
  <c r="U836" i="4"/>
  <c r="K836" i="4"/>
  <c r="E836" i="4"/>
  <c r="B836" i="4"/>
  <c r="U835" i="4"/>
  <c r="K835" i="4"/>
  <c r="E835" i="4"/>
  <c r="B835" i="4"/>
  <c r="U834" i="4"/>
  <c r="K834" i="4"/>
  <c r="E834" i="4"/>
  <c r="B834" i="4"/>
  <c r="U833" i="4"/>
  <c r="K833" i="4"/>
  <c r="E833" i="4"/>
  <c r="B833" i="4"/>
  <c r="U832" i="4"/>
  <c r="K832" i="4"/>
  <c r="E832" i="4"/>
  <c r="B832" i="4"/>
  <c r="U831" i="4"/>
  <c r="K831" i="4"/>
  <c r="E831" i="4"/>
  <c r="B831" i="4"/>
  <c r="U830" i="4"/>
  <c r="K830" i="4"/>
  <c r="E830" i="4"/>
  <c r="B830" i="4"/>
  <c r="U829" i="4"/>
  <c r="K829" i="4"/>
  <c r="E829" i="4"/>
  <c r="B829" i="4"/>
  <c r="U828" i="4"/>
  <c r="K828" i="4"/>
  <c r="E828" i="4"/>
  <c r="B828" i="4"/>
  <c r="U827" i="4"/>
  <c r="K827" i="4"/>
  <c r="E827" i="4"/>
  <c r="B827" i="4"/>
  <c r="U826" i="4"/>
  <c r="K826" i="4"/>
  <c r="E826" i="4"/>
  <c r="B826" i="4"/>
  <c r="U825" i="4"/>
  <c r="K825" i="4"/>
  <c r="E825" i="4"/>
  <c r="B825" i="4"/>
  <c r="U824" i="4"/>
  <c r="K824" i="4"/>
  <c r="E824" i="4"/>
  <c r="B824" i="4"/>
  <c r="U823" i="4"/>
  <c r="K823" i="4"/>
  <c r="E823" i="4"/>
  <c r="B823" i="4"/>
  <c r="U822" i="4"/>
  <c r="K822" i="4"/>
  <c r="E822" i="4"/>
  <c r="B822" i="4"/>
  <c r="U821" i="4"/>
  <c r="K821" i="4"/>
  <c r="E821" i="4"/>
  <c r="B821" i="4"/>
  <c r="U820" i="4"/>
  <c r="K820" i="4"/>
  <c r="E820" i="4"/>
  <c r="B820" i="4"/>
  <c r="U819" i="4"/>
  <c r="K819" i="4"/>
  <c r="E819" i="4"/>
  <c r="B819" i="4"/>
  <c r="U818" i="4"/>
  <c r="K818" i="4"/>
  <c r="E818" i="4"/>
  <c r="B818" i="4"/>
  <c r="U817" i="4"/>
  <c r="K817" i="4"/>
  <c r="H817" i="4"/>
  <c r="E817" i="4"/>
  <c r="B817" i="4"/>
  <c r="U816" i="4"/>
  <c r="K816" i="4"/>
  <c r="E816" i="4"/>
  <c r="B816" i="4"/>
  <c r="U815" i="4"/>
  <c r="K815" i="4"/>
  <c r="E815" i="4"/>
  <c r="B815" i="4"/>
  <c r="U814" i="4"/>
  <c r="K814" i="4"/>
  <c r="E814" i="4"/>
  <c r="B814" i="4"/>
  <c r="U813" i="4"/>
  <c r="K813" i="4"/>
  <c r="E813" i="4"/>
  <c r="B813" i="4"/>
  <c r="U812" i="4"/>
  <c r="K812" i="4"/>
  <c r="E812" i="4"/>
  <c r="B812" i="4"/>
  <c r="U811" i="4"/>
  <c r="K811" i="4"/>
  <c r="E811" i="4"/>
  <c r="B811" i="4"/>
  <c r="U810" i="4"/>
  <c r="K810" i="4"/>
  <c r="E810" i="4"/>
  <c r="B810" i="4"/>
  <c r="U809" i="4"/>
  <c r="K809" i="4"/>
  <c r="E809" i="4"/>
  <c r="B809" i="4"/>
  <c r="U808" i="4"/>
  <c r="K808" i="4"/>
  <c r="E808" i="4"/>
  <c r="B808" i="4"/>
  <c r="U807" i="4"/>
  <c r="K807" i="4"/>
  <c r="E807" i="4"/>
  <c r="B807" i="4"/>
  <c r="U806" i="4"/>
  <c r="K806" i="4"/>
  <c r="E806" i="4"/>
  <c r="B806" i="4"/>
  <c r="U805" i="4"/>
  <c r="K805" i="4"/>
  <c r="E805" i="4"/>
  <c r="B805" i="4"/>
  <c r="U804" i="4"/>
  <c r="K804" i="4"/>
  <c r="E804" i="4"/>
  <c r="B804" i="4"/>
  <c r="U803" i="4"/>
  <c r="K803" i="4"/>
  <c r="E803" i="4"/>
  <c r="B803" i="4"/>
  <c r="U802" i="4"/>
  <c r="K802" i="4"/>
  <c r="E802" i="4"/>
  <c r="B802" i="4"/>
  <c r="U801" i="4"/>
  <c r="K801" i="4"/>
  <c r="E801" i="4"/>
  <c r="B801" i="4"/>
  <c r="U800" i="4"/>
  <c r="K800" i="4"/>
  <c r="E800" i="4"/>
  <c r="B800" i="4"/>
  <c r="U799" i="4"/>
  <c r="K799" i="4"/>
  <c r="E799" i="4"/>
  <c r="B799" i="4"/>
  <c r="U798" i="4"/>
  <c r="K798" i="4"/>
  <c r="E798" i="4"/>
  <c r="B798" i="4"/>
  <c r="U797" i="4"/>
  <c r="K797" i="4"/>
  <c r="E797" i="4"/>
  <c r="B797" i="4"/>
  <c r="U796" i="4"/>
  <c r="K796" i="4"/>
  <c r="E796" i="4"/>
  <c r="B796" i="4"/>
  <c r="U795" i="4"/>
  <c r="K795" i="4"/>
  <c r="E795" i="4"/>
  <c r="B795" i="4"/>
  <c r="U794" i="4"/>
  <c r="K794" i="4"/>
  <c r="E794" i="4"/>
  <c r="B794" i="4"/>
  <c r="U793" i="4"/>
  <c r="K793" i="4"/>
  <c r="E793" i="4"/>
  <c r="B793" i="4"/>
  <c r="U792" i="4"/>
  <c r="K792" i="4"/>
  <c r="E792" i="4"/>
  <c r="B792" i="4"/>
  <c r="U791" i="4"/>
  <c r="K791" i="4"/>
  <c r="E791" i="4"/>
  <c r="B791" i="4"/>
  <c r="U790" i="4"/>
  <c r="K790" i="4"/>
  <c r="E790" i="4"/>
  <c r="B790" i="4"/>
  <c r="U789" i="4"/>
  <c r="K789" i="4"/>
  <c r="E789" i="4"/>
  <c r="B789" i="4"/>
  <c r="U788" i="4"/>
  <c r="K788" i="4"/>
  <c r="E788" i="4"/>
  <c r="B788" i="4"/>
  <c r="U787" i="4"/>
  <c r="K787" i="4"/>
  <c r="E787" i="4"/>
  <c r="B787" i="4"/>
  <c r="U786" i="4"/>
  <c r="K786" i="4"/>
  <c r="E786" i="4"/>
  <c r="B786" i="4"/>
  <c r="U785" i="4"/>
  <c r="K785" i="4"/>
  <c r="E785" i="4"/>
  <c r="B785" i="4"/>
  <c r="U784" i="4"/>
  <c r="K784" i="4"/>
  <c r="E784" i="4"/>
  <c r="B784" i="4"/>
  <c r="U783" i="4"/>
  <c r="K783" i="4"/>
  <c r="E783" i="4"/>
  <c r="B783" i="4"/>
  <c r="U782" i="4"/>
  <c r="K782" i="4"/>
  <c r="E782" i="4"/>
  <c r="B782" i="4"/>
  <c r="U781" i="4"/>
  <c r="K781" i="4"/>
  <c r="E781" i="4"/>
  <c r="B781" i="4"/>
  <c r="U780" i="4"/>
  <c r="K780" i="4"/>
  <c r="E780" i="4"/>
  <c r="B780" i="4"/>
  <c r="U779" i="4"/>
  <c r="K779" i="4"/>
  <c r="E779" i="4"/>
  <c r="B779" i="4"/>
  <c r="U778" i="4"/>
  <c r="K778" i="4"/>
  <c r="E778" i="4"/>
  <c r="B778" i="4"/>
  <c r="U777" i="4"/>
  <c r="K777" i="4"/>
  <c r="E777" i="4"/>
  <c r="B777" i="4"/>
  <c r="U776" i="4"/>
  <c r="K776" i="4"/>
  <c r="E776" i="4"/>
  <c r="B776" i="4"/>
  <c r="U775" i="4"/>
  <c r="K775" i="4"/>
  <c r="E775" i="4"/>
  <c r="B775" i="4"/>
  <c r="U774" i="4"/>
  <c r="K774" i="4"/>
  <c r="E774" i="4"/>
  <c r="B774" i="4"/>
  <c r="U773" i="4"/>
  <c r="K773" i="4"/>
  <c r="E773" i="4"/>
  <c r="B773" i="4"/>
  <c r="U772" i="4"/>
  <c r="K772" i="4"/>
  <c r="E772" i="4"/>
  <c r="B772" i="4"/>
  <c r="U771" i="4"/>
  <c r="K771" i="4"/>
  <c r="E771" i="4"/>
  <c r="B771" i="4"/>
  <c r="U770" i="4"/>
  <c r="K770" i="4"/>
  <c r="E770" i="4"/>
  <c r="B770" i="4"/>
  <c r="U769" i="4"/>
  <c r="K769" i="4"/>
  <c r="E769" i="4"/>
  <c r="B769" i="4"/>
  <c r="U768" i="4"/>
  <c r="K768" i="4"/>
  <c r="E768" i="4"/>
  <c r="B768" i="4"/>
  <c r="U767" i="4"/>
  <c r="K767" i="4"/>
  <c r="E767" i="4"/>
  <c r="B767" i="4"/>
  <c r="U766" i="4"/>
  <c r="K766" i="4"/>
  <c r="E766" i="4"/>
  <c r="B766" i="4"/>
  <c r="U765" i="4"/>
  <c r="K765" i="4"/>
  <c r="E765" i="4"/>
  <c r="B765" i="4"/>
  <c r="U764" i="4"/>
  <c r="K764" i="4"/>
  <c r="E764" i="4"/>
  <c r="B764" i="4"/>
  <c r="U763" i="4"/>
  <c r="K763" i="4"/>
  <c r="E763" i="4"/>
  <c r="B763" i="4"/>
  <c r="U762" i="4"/>
  <c r="K762" i="4"/>
  <c r="E762" i="4"/>
  <c r="B762" i="4"/>
  <c r="U761" i="4"/>
  <c r="K761" i="4"/>
  <c r="E761" i="4"/>
  <c r="B761" i="4"/>
  <c r="U760" i="4"/>
  <c r="K760" i="4"/>
  <c r="E760" i="4"/>
  <c r="B760" i="4"/>
  <c r="U759" i="4"/>
  <c r="K759" i="4"/>
  <c r="E759" i="4"/>
  <c r="B759" i="4"/>
  <c r="U758" i="4"/>
  <c r="K758" i="4"/>
  <c r="E758" i="4"/>
  <c r="B758" i="4"/>
  <c r="U757" i="4"/>
  <c r="K757" i="4"/>
  <c r="E757" i="4"/>
  <c r="B757" i="4"/>
  <c r="U756" i="4"/>
  <c r="K756" i="4"/>
  <c r="E756" i="4"/>
  <c r="B756" i="4"/>
  <c r="U755" i="4"/>
  <c r="K755" i="4"/>
  <c r="E755" i="4"/>
  <c r="B755" i="4"/>
  <c r="U754" i="4"/>
  <c r="K754" i="4"/>
  <c r="E754" i="4"/>
  <c r="B754" i="4"/>
  <c r="U753" i="4"/>
  <c r="K753" i="4"/>
  <c r="E753" i="4"/>
  <c r="B753" i="4"/>
  <c r="U752" i="4"/>
  <c r="K752" i="4"/>
  <c r="E752" i="4"/>
  <c r="B752" i="4"/>
  <c r="U751" i="4"/>
  <c r="K751" i="4"/>
  <c r="E751" i="4"/>
  <c r="B751" i="4"/>
  <c r="U750" i="4"/>
  <c r="K750" i="4"/>
  <c r="E750" i="4"/>
  <c r="B750" i="4"/>
  <c r="U749" i="4"/>
  <c r="K749" i="4"/>
  <c r="E749" i="4"/>
  <c r="B749" i="4"/>
  <c r="U748" i="4"/>
  <c r="K748" i="4"/>
  <c r="E748" i="4"/>
  <c r="B748" i="4"/>
  <c r="U747" i="4"/>
  <c r="K747" i="4"/>
  <c r="E747" i="4"/>
  <c r="B747" i="4"/>
  <c r="U746" i="4"/>
  <c r="K746" i="4"/>
  <c r="E746" i="4"/>
  <c r="B746" i="4"/>
  <c r="U745" i="4"/>
  <c r="K745" i="4"/>
  <c r="E745" i="4"/>
  <c r="B745" i="4"/>
  <c r="U744" i="4"/>
  <c r="K744" i="4"/>
  <c r="E744" i="4"/>
  <c r="B744" i="4"/>
  <c r="U743" i="4"/>
  <c r="K743" i="4"/>
  <c r="E743" i="4"/>
  <c r="B743" i="4"/>
  <c r="U742" i="4"/>
  <c r="K742" i="4"/>
  <c r="E742" i="4"/>
  <c r="B742" i="4"/>
  <c r="U741" i="4"/>
  <c r="K741" i="4"/>
  <c r="E741" i="4"/>
  <c r="B741" i="4"/>
  <c r="U740" i="4"/>
  <c r="K740" i="4"/>
  <c r="E740" i="4"/>
  <c r="B740" i="4"/>
  <c r="U739" i="4"/>
  <c r="K739" i="4"/>
  <c r="E739" i="4"/>
  <c r="B739" i="4"/>
  <c r="U738" i="4"/>
  <c r="K738" i="4"/>
  <c r="E738" i="4"/>
  <c r="B738" i="4"/>
  <c r="U737" i="4"/>
  <c r="K737" i="4"/>
  <c r="E737" i="4"/>
  <c r="B737" i="4"/>
  <c r="U736" i="4"/>
  <c r="K736" i="4"/>
  <c r="E736" i="4"/>
  <c r="B736" i="4"/>
  <c r="U735" i="4"/>
  <c r="K735" i="4"/>
  <c r="E735" i="4"/>
  <c r="B735" i="4"/>
  <c r="U734" i="4"/>
  <c r="K734" i="4"/>
  <c r="E734" i="4"/>
  <c r="B734" i="4"/>
  <c r="U733" i="4"/>
  <c r="K733" i="4"/>
  <c r="E733" i="4"/>
  <c r="B733" i="4"/>
  <c r="U732" i="4"/>
  <c r="K732" i="4"/>
  <c r="E732" i="4"/>
  <c r="B732" i="4"/>
  <c r="U731" i="4"/>
  <c r="K731" i="4"/>
  <c r="H731" i="4"/>
  <c r="E731" i="4"/>
  <c r="B731" i="4"/>
  <c r="U730" i="4"/>
  <c r="K730" i="4"/>
  <c r="E730" i="4"/>
  <c r="B730" i="4"/>
  <c r="U729" i="4"/>
  <c r="K729" i="4"/>
  <c r="E729" i="4"/>
  <c r="B729" i="4"/>
  <c r="U728" i="4"/>
  <c r="K728" i="4"/>
  <c r="E728" i="4"/>
  <c r="B728" i="4"/>
  <c r="U727" i="4"/>
  <c r="K727" i="4"/>
  <c r="E727" i="4"/>
  <c r="B727" i="4"/>
  <c r="U726" i="4"/>
  <c r="K726" i="4"/>
  <c r="E726" i="4"/>
  <c r="B726" i="4"/>
  <c r="U725" i="4"/>
  <c r="K725" i="4"/>
  <c r="E725" i="4"/>
  <c r="B725" i="4"/>
  <c r="U724" i="4"/>
  <c r="K724" i="4"/>
  <c r="E724" i="4"/>
  <c r="B724" i="4"/>
  <c r="K723" i="4"/>
  <c r="E723" i="4"/>
  <c r="B723" i="4"/>
  <c r="U722" i="4"/>
  <c r="K722" i="4"/>
  <c r="E722" i="4"/>
  <c r="B722" i="4"/>
  <c r="U721" i="4"/>
  <c r="K721" i="4"/>
  <c r="E721" i="4"/>
  <c r="B721" i="4"/>
  <c r="U720" i="4"/>
  <c r="K720" i="4"/>
  <c r="E720" i="4"/>
  <c r="B720" i="4"/>
  <c r="U719" i="4"/>
  <c r="K719" i="4"/>
  <c r="E719" i="4"/>
  <c r="B719" i="4"/>
  <c r="U718" i="4"/>
  <c r="K718" i="4"/>
  <c r="E718" i="4"/>
  <c r="B718" i="4"/>
  <c r="U717" i="4"/>
  <c r="K717" i="4"/>
  <c r="E717" i="4"/>
  <c r="B717" i="4"/>
  <c r="U716" i="4"/>
  <c r="K716" i="4"/>
  <c r="E716" i="4"/>
  <c r="B716" i="4"/>
  <c r="U715" i="4"/>
  <c r="K715" i="4"/>
  <c r="E715" i="4"/>
  <c r="B715" i="4"/>
  <c r="U714" i="4"/>
  <c r="K714" i="4"/>
  <c r="E714" i="4"/>
  <c r="B714" i="4"/>
  <c r="U713" i="4"/>
  <c r="K713" i="4"/>
  <c r="E713" i="4"/>
  <c r="B713" i="4"/>
  <c r="U712" i="4"/>
  <c r="K712" i="4"/>
  <c r="E712" i="4"/>
  <c r="B712" i="4"/>
  <c r="U711" i="4"/>
  <c r="K711" i="4"/>
  <c r="E711" i="4"/>
  <c r="B711" i="4"/>
  <c r="U710" i="4"/>
  <c r="K710" i="4"/>
  <c r="E710" i="4"/>
  <c r="B710" i="4"/>
  <c r="U709" i="4"/>
  <c r="K709" i="4"/>
  <c r="E709" i="4"/>
  <c r="B709" i="4"/>
  <c r="U708" i="4"/>
  <c r="K708" i="4"/>
  <c r="E708" i="4"/>
  <c r="B708" i="4"/>
  <c r="U707" i="4"/>
  <c r="K707" i="4"/>
  <c r="E707" i="4"/>
  <c r="B707" i="4"/>
  <c r="U706" i="4"/>
  <c r="K706" i="4"/>
  <c r="E706" i="4"/>
  <c r="B706" i="4"/>
  <c r="U705" i="4"/>
  <c r="K705" i="4"/>
  <c r="E705" i="4"/>
  <c r="B705" i="4"/>
  <c r="U704" i="4"/>
  <c r="K704" i="4"/>
  <c r="E704" i="4"/>
  <c r="B704" i="4"/>
  <c r="U703" i="4"/>
  <c r="K703" i="4"/>
  <c r="E703" i="4"/>
  <c r="B703" i="4"/>
  <c r="U702" i="4"/>
  <c r="K702" i="4"/>
  <c r="E702" i="4"/>
  <c r="B702" i="4"/>
  <c r="U701" i="4"/>
  <c r="K701" i="4"/>
  <c r="E701" i="4"/>
  <c r="B701" i="4"/>
  <c r="U700" i="4"/>
  <c r="K700" i="4"/>
  <c r="E700" i="4"/>
  <c r="B700" i="4"/>
  <c r="U699" i="4"/>
  <c r="K699" i="4"/>
  <c r="E699" i="4"/>
  <c r="B699" i="4"/>
  <c r="U698" i="4"/>
  <c r="K698" i="4"/>
  <c r="E698" i="4"/>
  <c r="B698" i="4"/>
  <c r="U697" i="4"/>
  <c r="K697" i="4"/>
  <c r="E697" i="4"/>
  <c r="B697" i="4"/>
  <c r="U696" i="4"/>
  <c r="K696" i="4"/>
  <c r="E696" i="4"/>
  <c r="B696" i="4"/>
  <c r="U695" i="4"/>
  <c r="K695" i="4"/>
  <c r="E695" i="4"/>
  <c r="B695" i="4"/>
  <c r="U694" i="4"/>
  <c r="K694" i="4"/>
  <c r="E694" i="4"/>
  <c r="B694" i="4"/>
  <c r="U693" i="4"/>
  <c r="K693" i="4"/>
  <c r="E693" i="4"/>
  <c r="B693" i="4"/>
  <c r="U692" i="4"/>
  <c r="K692" i="4"/>
  <c r="E692" i="4"/>
  <c r="B692" i="4"/>
  <c r="U691" i="4"/>
  <c r="K691" i="4"/>
  <c r="E691" i="4"/>
  <c r="B691" i="4"/>
  <c r="U690" i="4"/>
  <c r="K690" i="4"/>
  <c r="E690" i="4"/>
  <c r="B690" i="4"/>
  <c r="U689" i="4"/>
  <c r="K689" i="4"/>
  <c r="E689" i="4"/>
  <c r="B689" i="4"/>
  <c r="U688" i="4"/>
  <c r="K688" i="4"/>
  <c r="E688" i="4"/>
  <c r="B688" i="4"/>
  <c r="U687" i="4"/>
  <c r="K687" i="4"/>
  <c r="E687" i="4"/>
  <c r="B687" i="4"/>
  <c r="U686" i="4"/>
  <c r="K686" i="4"/>
  <c r="E686" i="4"/>
  <c r="B686" i="4"/>
  <c r="U685" i="4"/>
  <c r="K685" i="4"/>
  <c r="E685" i="4"/>
  <c r="B685" i="4"/>
  <c r="U684" i="4"/>
  <c r="K684" i="4"/>
  <c r="E684" i="4"/>
  <c r="B684" i="4"/>
  <c r="U683" i="4"/>
  <c r="K683" i="4"/>
  <c r="E683" i="4"/>
  <c r="B683" i="4"/>
  <c r="U682" i="4"/>
  <c r="K682" i="4"/>
  <c r="E682" i="4"/>
  <c r="B682" i="4"/>
  <c r="U681" i="4"/>
  <c r="K681" i="4"/>
  <c r="E681" i="4"/>
  <c r="B681" i="4"/>
  <c r="U680" i="4"/>
  <c r="K680" i="4"/>
  <c r="E680" i="4"/>
  <c r="B680" i="4"/>
  <c r="U679" i="4"/>
  <c r="K679" i="4"/>
  <c r="E679" i="4"/>
  <c r="B679" i="4"/>
  <c r="U678" i="4"/>
  <c r="K678" i="4"/>
  <c r="E678" i="4"/>
  <c r="B678" i="4"/>
  <c r="U677" i="4"/>
  <c r="K677" i="4"/>
  <c r="E677" i="4"/>
  <c r="B677" i="4"/>
  <c r="U676" i="4"/>
  <c r="K676" i="4"/>
  <c r="E676" i="4"/>
  <c r="B676" i="4"/>
  <c r="U675" i="4"/>
  <c r="K675" i="4"/>
  <c r="E675" i="4"/>
  <c r="B675" i="4"/>
  <c r="U674" i="4"/>
  <c r="K674" i="4"/>
  <c r="E674" i="4"/>
  <c r="B674" i="4"/>
  <c r="U673" i="4"/>
  <c r="K673" i="4"/>
  <c r="E673" i="4"/>
  <c r="B673" i="4"/>
  <c r="U672" i="4"/>
  <c r="K672" i="4"/>
  <c r="E672" i="4"/>
  <c r="B672" i="4"/>
  <c r="U671" i="4"/>
  <c r="K671" i="4"/>
  <c r="E671" i="4"/>
  <c r="B671" i="4"/>
  <c r="U670" i="4"/>
  <c r="K670" i="4"/>
  <c r="E670" i="4"/>
  <c r="B670" i="4"/>
  <c r="U669" i="4"/>
  <c r="K669" i="4"/>
  <c r="E669" i="4"/>
  <c r="B669" i="4"/>
  <c r="U668" i="4"/>
  <c r="K668" i="4"/>
  <c r="E668" i="4"/>
  <c r="B668" i="4"/>
  <c r="U667" i="4"/>
  <c r="K667" i="4"/>
  <c r="E667" i="4"/>
  <c r="B667" i="4"/>
  <c r="U666" i="4"/>
  <c r="K666" i="4"/>
  <c r="E666" i="4"/>
  <c r="B666" i="4"/>
  <c r="U665" i="4"/>
  <c r="K665" i="4"/>
  <c r="E665" i="4"/>
  <c r="B665" i="4"/>
  <c r="U664" i="4"/>
  <c r="K664" i="4"/>
  <c r="E664" i="4"/>
  <c r="B664" i="4"/>
  <c r="U663" i="4"/>
  <c r="K663" i="4"/>
  <c r="E663" i="4"/>
  <c r="B663" i="4"/>
  <c r="U662" i="4"/>
  <c r="K662" i="4"/>
  <c r="E662" i="4"/>
  <c r="B662" i="4"/>
  <c r="U661" i="4"/>
  <c r="K661" i="4"/>
  <c r="E661" i="4"/>
  <c r="B661" i="4"/>
  <c r="U660" i="4"/>
  <c r="K660" i="4"/>
  <c r="E660" i="4"/>
  <c r="B660" i="4"/>
  <c r="U659" i="4"/>
  <c r="K659" i="4"/>
  <c r="E659" i="4"/>
  <c r="B659" i="4"/>
  <c r="U658" i="4"/>
  <c r="K658" i="4"/>
  <c r="E658" i="4"/>
  <c r="B658" i="4"/>
  <c r="U657" i="4"/>
  <c r="K657" i="4"/>
  <c r="E657" i="4"/>
  <c r="B657" i="4"/>
  <c r="U656" i="4"/>
  <c r="K656" i="4"/>
  <c r="E656" i="4"/>
  <c r="B656" i="4"/>
  <c r="U655" i="4"/>
  <c r="K655" i="4"/>
  <c r="E655" i="4"/>
  <c r="B655" i="4"/>
  <c r="U654" i="4"/>
  <c r="K654" i="4"/>
  <c r="E654" i="4"/>
  <c r="B654" i="4"/>
  <c r="U653" i="4"/>
  <c r="K653" i="4"/>
  <c r="E653" i="4"/>
  <c r="B653" i="4"/>
  <c r="U652" i="4"/>
  <c r="K652" i="4"/>
  <c r="E652" i="4"/>
  <c r="B652" i="4"/>
  <c r="U651" i="4"/>
  <c r="K651" i="4"/>
  <c r="E651" i="4"/>
  <c r="B651" i="4"/>
  <c r="U650" i="4"/>
  <c r="K650" i="4"/>
  <c r="E650" i="4"/>
  <c r="B650" i="4"/>
  <c r="U649" i="4"/>
  <c r="K649" i="4"/>
  <c r="E649" i="4"/>
  <c r="B649" i="4"/>
  <c r="U648" i="4"/>
  <c r="K648" i="4"/>
  <c r="E648" i="4"/>
  <c r="B648" i="4"/>
  <c r="U647" i="4"/>
  <c r="K647" i="4"/>
  <c r="E647" i="4"/>
  <c r="B647" i="4"/>
  <c r="U646" i="4"/>
  <c r="K646" i="4"/>
  <c r="E646" i="4"/>
  <c r="B646" i="4"/>
  <c r="U645" i="4"/>
  <c r="K645" i="4"/>
  <c r="E645" i="4"/>
  <c r="B645" i="4"/>
  <c r="U644" i="4"/>
  <c r="K644" i="4"/>
  <c r="E644" i="4"/>
  <c r="B644" i="4"/>
  <c r="U643" i="4"/>
  <c r="K643" i="4"/>
  <c r="E643" i="4"/>
  <c r="B643" i="4"/>
  <c r="U642" i="4"/>
  <c r="K642" i="4"/>
  <c r="E642" i="4"/>
  <c r="B642" i="4"/>
  <c r="U641" i="4"/>
  <c r="K641" i="4"/>
  <c r="E641" i="4"/>
  <c r="B641" i="4"/>
  <c r="U640" i="4"/>
  <c r="K640" i="4"/>
  <c r="E640" i="4"/>
  <c r="B640" i="4"/>
  <c r="U639" i="4"/>
  <c r="K639" i="4"/>
  <c r="E639" i="4"/>
  <c r="B639" i="4"/>
  <c r="U638" i="4"/>
  <c r="K638" i="4"/>
  <c r="E638" i="4"/>
  <c r="B638" i="4"/>
  <c r="U637" i="4"/>
  <c r="K637" i="4"/>
  <c r="E637" i="4"/>
  <c r="B637" i="4"/>
  <c r="U636" i="4"/>
  <c r="K636" i="4"/>
  <c r="E636" i="4"/>
  <c r="B636" i="4"/>
  <c r="U635" i="4"/>
  <c r="K635" i="4"/>
  <c r="E635" i="4"/>
  <c r="B635" i="4"/>
  <c r="U634" i="4"/>
  <c r="K634" i="4"/>
  <c r="E634" i="4"/>
  <c r="B634" i="4"/>
  <c r="U633" i="4"/>
  <c r="K633" i="4"/>
  <c r="E633" i="4"/>
  <c r="B633" i="4"/>
  <c r="U632" i="4"/>
  <c r="K632" i="4"/>
  <c r="E632" i="4"/>
  <c r="B632" i="4"/>
  <c r="U631" i="4"/>
  <c r="K631" i="4"/>
  <c r="E631" i="4"/>
  <c r="B631" i="4"/>
  <c r="U630" i="4"/>
  <c r="K630" i="4"/>
  <c r="E630" i="4"/>
  <c r="B630" i="4"/>
  <c r="U629" i="4"/>
  <c r="K629" i="4"/>
  <c r="E629" i="4"/>
  <c r="B629" i="4"/>
  <c r="U628" i="4"/>
  <c r="K628" i="4"/>
  <c r="E628" i="4"/>
  <c r="B628" i="4"/>
  <c r="U627" i="4"/>
  <c r="K627" i="4"/>
  <c r="E627" i="4"/>
  <c r="B627" i="4"/>
  <c r="U626" i="4"/>
  <c r="K626" i="4"/>
  <c r="E626" i="4"/>
  <c r="B626" i="4"/>
  <c r="U625" i="4"/>
  <c r="K625" i="4"/>
  <c r="E625" i="4"/>
  <c r="B625" i="4"/>
  <c r="U624" i="4"/>
  <c r="K624" i="4"/>
  <c r="E624" i="4"/>
  <c r="B624" i="4"/>
  <c r="U623" i="4"/>
  <c r="K623" i="4"/>
  <c r="E623" i="4"/>
  <c r="B623" i="4"/>
  <c r="U622" i="4"/>
  <c r="K622" i="4"/>
  <c r="E622" i="4"/>
  <c r="B622" i="4"/>
  <c r="U621" i="4"/>
  <c r="K621" i="4"/>
  <c r="E621" i="4"/>
  <c r="B621" i="4"/>
  <c r="U620" i="4"/>
  <c r="K620" i="4"/>
  <c r="E620" i="4"/>
  <c r="B620" i="4"/>
  <c r="U619" i="4"/>
  <c r="K619" i="4"/>
  <c r="E619" i="4"/>
  <c r="B619" i="4"/>
  <c r="U618" i="4"/>
  <c r="K618" i="4"/>
  <c r="E618" i="4"/>
  <c r="B618" i="4"/>
  <c r="U617" i="4"/>
  <c r="K617" i="4"/>
  <c r="E617" i="4"/>
  <c r="B617" i="4"/>
  <c r="U616" i="4"/>
  <c r="K616" i="4"/>
  <c r="E616" i="4"/>
  <c r="B616" i="4"/>
  <c r="U615" i="4"/>
  <c r="K615" i="4"/>
  <c r="E615" i="4"/>
  <c r="B615" i="4"/>
  <c r="U614" i="4"/>
  <c r="K614" i="4"/>
  <c r="E614" i="4"/>
  <c r="B614" i="4"/>
  <c r="K613" i="4"/>
  <c r="E613" i="4"/>
  <c r="B613" i="4"/>
  <c r="U612" i="4"/>
  <c r="K612" i="4"/>
  <c r="E612" i="4"/>
  <c r="B612" i="4"/>
  <c r="U611" i="4"/>
  <c r="K611" i="4"/>
  <c r="E611" i="4"/>
  <c r="B611" i="4"/>
  <c r="K610" i="4"/>
  <c r="E610" i="4"/>
  <c r="B610" i="4"/>
  <c r="U609" i="4"/>
  <c r="K609" i="4"/>
  <c r="E609" i="4"/>
  <c r="B609" i="4"/>
  <c r="U608" i="4"/>
  <c r="K608" i="4"/>
  <c r="E608" i="4"/>
  <c r="B608" i="4"/>
  <c r="U607" i="4"/>
  <c r="K607" i="4"/>
  <c r="E607" i="4"/>
  <c r="B607" i="4"/>
  <c r="U606" i="4"/>
  <c r="K606" i="4"/>
  <c r="E606" i="4"/>
  <c r="B606" i="4"/>
  <c r="U605" i="4"/>
  <c r="K605" i="4"/>
  <c r="E605" i="4"/>
  <c r="B605" i="4"/>
  <c r="U604" i="4"/>
  <c r="K604" i="4"/>
  <c r="E604" i="4"/>
  <c r="B604" i="4"/>
  <c r="U603" i="4"/>
  <c r="K603" i="4"/>
  <c r="E603" i="4"/>
  <c r="B603" i="4"/>
  <c r="U602" i="4"/>
  <c r="K602" i="4"/>
  <c r="E602" i="4"/>
  <c r="B602" i="4"/>
  <c r="U601" i="4"/>
  <c r="K601" i="4"/>
  <c r="E601" i="4"/>
  <c r="B601" i="4"/>
  <c r="U600" i="4"/>
  <c r="K600" i="4"/>
  <c r="E600" i="4"/>
  <c r="B600" i="4"/>
  <c r="U599" i="4"/>
  <c r="K599" i="4"/>
  <c r="E599" i="4"/>
  <c r="B599" i="4"/>
  <c r="U598" i="4"/>
  <c r="K598" i="4"/>
  <c r="E598" i="4"/>
  <c r="B598" i="4"/>
  <c r="U597" i="4"/>
  <c r="K597" i="4"/>
  <c r="E597" i="4"/>
  <c r="B597" i="4"/>
  <c r="U596" i="4"/>
  <c r="K596" i="4"/>
  <c r="E596" i="4"/>
  <c r="B596" i="4"/>
  <c r="U595" i="4"/>
  <c r="K595" i="4"/>
  <c r="E595" i="4"/>
  <c r="B595" i="4"/>
  <c r="U594" i="4"/>
  <c r="K594" i="4"/>
  <c r="E594" i="4"/>
  <c r="B594" i="4"/>
  <c r="U593" i="4"/>
  <c r="K593" i="4"/>
  <c r="E593" i="4"/>
  <c r="B593" i="4"/>
  <c r="U592" i="4"/>
  <c r="K592" i="4"/>
  <c r="E592" i="4"/>
  <c r="B592" i="4"/>
  <c r="U591" i="4"/>
  <c r="K591" i="4"/>
  <c r="E591" i="4"/>
  <c r="B591" i="4"/>
  <c r="U590" i="4"/>
  <c r="K590" i="4"/>
  <c r="E590" i="4"/>
  <c r="B590" i="4"/>
  <c r="U589" i="4"/>
  <c r="K589" i="4"/>
  <c r="E589" i="4"/>
  <c r="B589" i="4"/>
  <c r="U588" i="4"/>
  <c r="K588" i="4"/>
  <c r="E588" i="4"/>
  <c r="B588" i="4"/>
  <c r="U587" i="4"/>
  <c r="K587" i="4"/>
  <c r="E587" i="4"/>
  <c r="B587" i="4"/>
  <c r="U586" i="4"/>
  <c r="K586" i="4"/>
  <c r="H586" i="4"/>
  <c r="E586" i="4"/>
  <c r="B586" i="4"/>
  <c r="U585" i="4"/>
  <c r="K585" i="4"/>
  <c r="E585" i="4"/>
  <c r="B585" i="4"/>
  <c r="U584" i="4"/>
  <c r="K584" i="4"/>
  <c r="E584" i="4"/>
  <c r="B584" i="4"/>
  <c r="U583" i="4"/>
  <c r="K583" i="4"/>
  <c r="E583" i="4"/>
  <c r="B583" i="4"/>
  <c r="U582" i="4"/>
  <c r="K582" i="4"/>
  <c r="E582" i="4"/>
  <c r="B582" i="4"/>
  <c r="U581" i="4"/>
  <c r="K581" i="4"/>
  <c r="E581" i="4"/>
  <c r="B581" i="4"/>
  <c r="U580" i="4"/>
  <c r="K580" i="4"/>
  <c r="E580" i="4"/>
  <c r="B580" i="4"/>
  <c r="U579" i="4"/>
  <c r="K579" i="4"/>
  <c r="E579" i="4"/>
  <c r="B579" i="4"/>
  <c r="U578" i="4"/>
  <c r="K578" i="4"/>
  <c r="E578" i="4"/>
  <c r="B578" i="4"/>
  <c r="U577" i="4"/>
  <c r="K577" i="4"/>
  <c r="E577" i="4"/>
  <c r="B577" i="4"/>
  <c r="U576" i="4"/>
  <c r="K576" i="4"/>
  <c r="E576" i="4"/>
  <c r="B576" i="4"/>
  <c r="U575" i="4"/>
  <c r="K575" i="4"/>
  <c r="E575" i="4"/>
  <c r="B575" i="4"/>
  <c r="U574" i="4"/>
  <c r="K574" i="4"/>
  <c r="E574" i="4"/>
  <c r="B574" i="4"/>
  <c r="U573" i="4"/>
  <c r="K573" i="4"/>
  <c r="E573" i="4"/>
  <c r="B573" i="4"/>
  <c r="U572" i="4"/>
  <c r="K572" i="4"/>
  <c r="E572" i="4"/>
  <c r="B572" i="4"/>
  <c r="U571" i="4"/>
  <c r="K571" i="4"/>
  <c r="E571" i="4"/>
  <c r="B571" i="4"/>
  <c r="U570" i="4"/>
  <c r="K570" i="4"/>
  <c r="E570" i="4"/>
  <c r="B570" i="4"/>
  <c r="U569" i="4"/>
  <c r="K569" i="4"/>
  <c r="E569" i="4"/>
  <c r="B569" i="4"/>
  <c r="U568" i="4"/>
  <c r="K568" i="4"/>
  <c r="E568" i="4"/>
  <c r="B568" i="4"/>
  <c r="U567" i="4"/>
  <c r="K567" i="4"/>
  <c r="E567" i="4"/>
  <c r="B567" i="4"/>
  <c r="U566" i="4"/>
  <c r="K566" i="4"/>
  <c r="E566" i="4"/>
  <c r="B566" i="4"/>
  <c r="U565" i="4"/>
  <c r="K565" i="4"/>
  <c r="E565" i="4"/>
  <c r="B565" i="4"/>
  <c r="U564" i="4"/>
  <c r="K564" i="4"/>
  <c r="E564" i="4"/>
  <c r="B564" i="4"/>
  <c r="U563" i="4"/>
  <c r="K563" i="4"/>
  <c r="E563" i="4"/>
  <c r="B563" i="4"/>
  <c r="U562" i="4"/>
  <c r="K562" i="4"/>
  <c r="E562" i="4"/>
  <c r="B562" i="4"/>
  <c r="U561" i="4"/>
  <c r="K561" i="4"/>
  <c r="E561" i="4"/>
  <c r="B561" i="4"/>
  <c r="U560" i="4"/>
  <c r="K560" i="4"/>
  <c r="E560" i="4"/>
  <c r="B560" i="4"/>
  <c r="U559" i="4"/>
  <c r="K559" i="4"/>
  <c r="E559" i="4"/>
  <c r="B559" i="4"/>
  <c r="U558" i="4"/>
  <c r="K558" i="4"/>
  <c r="E558" i="4"/>
  <c r="B558" i="4"/>
  <c r="U557" i="4"/>
  <c r="K557" i="4"/>
  <c r="E557" i="4"/>
  <c r="B557" i="4"/>
  <c r="U556" i="4"/>
  <c r="K556" i="4"/>
  <c r="E556" i="4"/>
  <c r="B556" i="4"/>
  <c r="U555" i="4"/>
  <c r="K555" i="4"/>
  <c r="E555" i="4"/>
  <c r="B555" i="4"/>
  <c r="U554" i="4"/>
  <c r="K554" i="4"/>
  <c r="E554" i="4"/>
  <c r="B554" i="4"/>
  <c r="U553" i="4"/>
  <c r="K553" i="4"/>
  <c r="E553" i="4"/>
  <c r="B553" i="4"/>
  <c r="U552" i="4"/>
  <c r="K552" i="4"/>
  <c r="E552" i="4"/>
  <c r="B552" i="4"/>
  <c r="U551" i="4"/>
  <c r="K551" i="4"/>
  <c r="E551" i="4"/>
  <c r="B551" i="4"/>
  <c r="U550" i="4"/>
  <c r="K550" i="4"/>
  <c r="E550" i="4"/>
  <c r="B550" i="4"/>
  <c r="U549" i="4"/>
  <c r="K549" i="4"/>
  <c r="E549" i="4"/>
  <c r="B549" i="4"/>
  <c r="U548" i="4"/>
  <c r="K548" i="4"/>
  <c r="E548" i="4"/>
  <c r="B548" i="4"/>
  <c r="U547" i="4"/>
  <c r="K547" i="4"/>
  <c r="E547" i="4"/>
  <c r="B547" i="4"/>
  <c r="U546" i="4"/>
  <c r="K546" i="4"/>
  <c r="E546" i="4"/>
  <c r="B546" i="4"/>
  <c r="U545" i="4"/>
  <c r="K545" i="4"/>
  <c r="E545" i="4"/>
  <c r="B545" i="4"/>
  <c r="U544" i="4"/>
  <c r="K544" i="4"/>
  <c r="E544" i="4"/>
  <c r="B544" i="4"/>
  <c r="U543" i="4"/>
  <c r="K543" i="4"/>
  <c r="E543" i="4"/>
  <c r="B543" i="4"/>
  <c r="U542" i="4"/>
  <c r="K542" i="4"/>
  <c r="E542" i="4"/>
  <c r="B542" i="4"/>
  <c r="U541" i="4"/>
  <c r="K541" i="4"/>
  <c r="E541" i="4"/>
  <c r="B541" i="4"/>
  <c r="U540" i="4"/>
  <c r="K540" i="4"/>
  <c r="E540" i="4"/>
  <c r="B540" i="4"/>
  <c r="U539" i="4"/>
  <c r="K539" i="4"/>
  <c r="E539" i="4"/>
  <c r="B539" i="4"/>
  <c r="U538" i="4"/>
  <c r="K538" i="4"/>
  <c r="E538" i="4"/>
  <c r="B538" i="4"/>
  <c r="U537" i="4"/>
  <c r="K537" i="4"/>
  <c r="E537" i="4"/>
  <c r="B537" i="4"/>
  <c r="U536" i="4"/>
  <c r="K536" i="4"/>
  <c r="E536" i="4"/>
  <c r="B536" i="4"/>
  <c r="U535" i="4"/>
  <c r="K535" i="4"/>
  <c r="E535" i="4"/>
  <c r="B535" i="4"/>
  <c r="U534" i="4"/>
  <c r="K534" i="4"/>
  <c r="E534" i="4"/>
  <c r="B534" i="4"/>
  <c r="U533" i="4"/>
  <c r="K533" i="4"/>
  <c r="E533" i="4"/>
  <c r="B533" i="4"/>
  <c r="U532" i="4"/>
  <c r="K532" i="4"/>
  <c r="E532" i="4"/>
  <c r="B532" i="4"/>
  <c r="U531" i="4"/>
  <c r="K531" i="4"/>
  <c r="E531" i="4"/>
  <c r="B531" i="4"/>
  <c r="U530" i="4"/>
  <c r="K530" i="4"/>
  <c r="E530" i="4"/>
  <c r="B530" i="4"/>
  <c r="U529" i="4"/>
  <c r="K529" i="4"/>
  <c r="E529" i="4"/>
  <c r="B529" i="4"/>
  <c r="U528" i="4"/>
  <c r="K528" i="4"/>
  <c r="E528" i="4"/>
  <c r="B528" i="4"/>
  <c r="U527" i="4"/>
  <c r="K527" i="4"/>
  <c r="E527" i="4"/>
  <c r="B527" i="4"/>
  <c r="U526" i="4"/>
  <c r="K526" i="4"/>
  <c r="E526" i="4"/>
  <c r="B526" i="4"/>
  <c r="U525" i="4"/>
  <c r="K525" i="4"/>
  <c r="E525" i="4"/>
  <c r="B525" i="4"/>
  <c r="U524" i="4"/>
  <c r="K524" i="4"/>
  <c r="E524" i="4"/>
  <c r="B524" i="4"/>
  <c r="U523" i="4"/>
  <c r="K523" i="4"/>
  <c r="E523" i="4"/>
  <c r="B523" i="4"/>
  <c r="U522" i="4"/>
  <c r="K522" i="4"/>
  <c r="E522" i="4"/>
  <c r="B522" i="4"/>
  <c r="U521" i="4"/>
  <c r="K521" i="4"/>
  <c r="E521" i="4"/>
  <c r="B521" i="4"/>
  <c r="U520" i="4"/>
  <c r="K520" i="4"/>
  <c r="E520" i="4"/>
  <c r="B520" i="4"/>
  <c r="U519" i="4"/>
  <c r="K519" i="4"/>
  <c r="E519" i="4"/>
  <c r="B519" i="4"/>
  <c r="U518" i="4"/>
  <c r="K518" i="4"/>
  <c r="E518" i="4"/>
  <c r="B518" i="4"/>
  <c r="U517" i="4"/>
  <c r="K517" i="4"/>
  <c r="E517" i="4"/>
  <c r="B517" i="4"/>
  <c r="U516" i="4"/>
  <c r="K516" i="4"/>
  <c r="E516" i="4"/>
  <c r="B516" i="4"/>
  <c r="U515" i="4"/>
  <c r="K515" i="4"/>
  <c r="E515" i="4"/>
  <c r="B515" i="4"/>
  <c r="U514" i="4"/>
  <c r="K514" i="4"/>
  <c r="E514" i="4"/>
  <c r="B514" i="4"/>
  <c r="U513" i="4"/>
  <c r="K513" i="4"/>
  <c r="E513" i="4"/>
  <c r="B513" i="4"/>
  <c r="U512" i="4"/>
  <c r="K512" i="4"/>
  <c r="E512" i="4"/>
  <c r="B512" i="4"/>
  <c r="U511" i="4"/>
  <c r="K511" i="4"/>
  <c r="E511" i="4"/>
  <c r="B511" i="4"/>
  <c r="U510" i="4"/>
  <c r="K510" i="4"/>
  <c r="E510" i="4"/>
  <c r="B510" i="4"/>
  <c r="U509" i="4"/>
  <c r="K509" i="4"/>
  <c r="E509" i="4"/>
  <c r="B509" i="4"/>
  <c r="U508" i="4"/>
  <c r="K508" i="4"/>
  <c r="E508" i="4"/>
  <c r="B508" i="4"/>
  <c r="U507" i="4"/>
  <c r="K507" i="4"/>
  <c r="E507" i="4"/>
  <c r="B507" i="4"/>
  <c r="U506" i="4"/>
  <c r="K506" i="4"/>
  <c r="E506" i="4"/>
  <c r="B506" i="4"/>
  <c r="U505" i="4"/>
  <c r="K505" i="4"/>
  <c r="E505" i="4"/>
  <c r="B505" i="4"/>
  <c r="U504" i="4"/>
  <c r="K504" i="4"/>
  <c r="E504" i="4"/>
  <c r="B504" i="4"/>
  <c r="U503" i="4"/>
  <c r="K503" i="4"/>
  <c r="E503" i="4"/>
  <c r="B503" i="4"/>
  <c r="U502" i="4"/>
  <c r="K502" i="4"/>
  <c r="E502" i="4"/>
  <c r="B502" i="4"/>
  <c r="U501" i="4"/>
  <c r="K501" i="4"/>
  <c r="E501" i="4"/>
  <c r="B501" i="4"/>
  <c r="U500" i="4"/>
  <c r="K500" i="4"/>
  <c r="E500" i="4"/>
  <c r="B500" i="4"/>
  <c r="U499" i="4"/>
  <c r="K499" i="4"/>
  <c r="E499" i="4"/>
  <c r="B499" i="4"/>
  <c r="U498" i="4"/>
  <c r="K498" i="4"/>
  <c r="E498" i="4"/>
  <c r="B498" i="4"/>
  <c r="U497" i="4"/>
  <c r="K497" i="4"/>
  <c r="E497" i="4"/>
  <c r="B497" i="4"/>
  <c r="U496" i="4"/>
  <c r="K496" i="4"/>
  <c r="E496" i="4"/>
  <c r="B496" i="4"/>
  <c r="U495" i="4"/>
  <c r="K495" i="4"/>
  <c r="E495" i="4"/>
  <c r="B495" i="4"/>
  <c r="U494" i="4"/>
  <c r="K494" i="4"/>
  <c r="E494" i="4"/>
  <c r="B494" i="4"/>
  <c r="U493" i="4"/>
  <c r="K493" i="4"/>
  <c r="E493" i="4"/>
  <c r="B493" i="4"/>
  <c r="U492" i="4"/>
  <c r="K492" i="4"/>
  <c r="E492" i="4"/>
  <c r="B492" i="4"/>
  <c r="U491" i="4"/>
  <c r="K491" i="4"/>
  <c r="E491" i="4"/>
  <c r="B491" i="4"/>
  <c r="U490" i="4"/>
  <c r="K490" i="4"/>
  <c r="E490" i="4"/>
  <c r="B490" i="4"/>
  <c r="U489" i="4"/>
  <c r="K489" i="4"/>
  <c r="E489" i="4"/>
  <c r="B489" i="4"/>
  <c r="U488" i="4"/>
  <c r="K488" i="4"/>
  <c r="E488" i="4"/>
  <c r="B488" i="4"/>
  <c r="U487" i="4"/>
  <c r="K487" i="4"/>
  <c r="E487" i="4"/>
  <c r="B487" i="4"/>
  <c r="U486" i="4"/>
  <c r="K486" i="4"/>
  <c r="E486" i="4"/>
  <c r="B486" i="4"/>
  <c r="U485" i="4"/>
  <c r="K485" i="4"/>
  <c r="E485" i="4"/>
  <c r="B485" i="4"/>
  <c r="U484" i="4"/>
  <c r="K484" i="4"/>
  <c r="E484" i="4"/>
  <c r="B484" i="4"/>
  <c r="U483" i="4"/>
  <c r="K483" i="4"/>
  <c r="E483" i="4"/>
  <c r="B483" i="4"/>
  <c r="U482" i="4"/>
  <c r="K482" i="4"/>
  <c r="E482" i="4"/>
  <c r="B482" i="4"/>
  <c r="U481" i="4"/>
  <c r="K481" i="4"/>
  <c r="E481" i="4"/>
  <c r="B481" i="4"/>
  <c r="U480" i="4"/>
  <c r="K480" i="4"/>
  <c r="E480" i="4"/>
  <c r="B480" i="4"/>
  <c r="U479" i="4"/>
  <c r="K479" i="4"/>
  <c r="E479" i="4"/>
  <c r="B479" i="4"/>
  <c r="U478" i="4"/>
  <c r="K478" i="4"/>
  <c r="E478" i="4"/>
  <c r="B478" i="4"/>
  <c r="U477" i="4"/>
  <c r="K477" i="4"/>
  <c r="E477" i="4"/>
  <c r="B477" i="4"/>
  <c r="U476" i="4"/>
  <c r="K476" i="4"/>
  <c r="E476" i="4"/>
  <c r="B476" i="4"/>
  <c r="U475" i="4"/>
  <c r="K475" i="4"/>
  <c r="E475" i="4"/>
  <c r="B475" i="4"/>
  <c r="U474" i="4"/>
  <c r="K474" i="4"/>
  <c r="E474" i="4"/>
  <c r="B474" i="4"/>
  <c r="U473" i="4"/>
  <c r="K473" i="4"/>
  <c r="E473" i="4"/>
  <c r="B473" i="4"/>
  <c r="U472" i="4"/>
  <c r="K472" i="4"/>
  <c r="E472" i="4"/>
  <c r="B472" i="4"/>
  <c r="U471" i="4"/>
  <c r="K471" i="4"/>
  <c r="E471" i="4"/>
  <c r="B471" i="4"/>
  <c r="U470" i="4"/>
  <c r="K470" i="4"/>
  <c r="E470" i="4"/>
  <c r="B470" i="4"/>
  <c r="U469" i="4"/>
  <c r="K469" i="4"/>
  <c r="E469" i="4"/>
  <c r="B469" i="4"/>
  <c r="U468" i="4"/>
  <c r="K468" i="4"/>
  <c r="E468" i="4"/>
  <c r="B468" i="4"/>
  <c r="U467" i="4"/>
  <c r="K467" i="4"/>
  <c r="E467" i="4"/>
  <c r="B467" i="4"/>
  <c r="U466" i="4"/>
  <c r="K466" i="4"/>
  <c r="E466" i="4"/>
  <c r="B466" i="4"/>
  <c r="U465" i="4"/>
  <c r="K465" i="4"/>
  <c r="E465" i="4"/>
  <c r="B465" i="4"/>
  <c r="U464" i="4"/>
  <c r="K464" i="4"/>
  <c r="E464" i="4"/>
  <c r="B464" i="4"/>
  <c r="U463" i="4"/>
  <c r="K463" i="4"/>
  <c r="E463" i="4"/>
  <c r="B463" i="4"/>
  <c r="U462" i="4"/>
  <c r="K462" i="4"/>
  <c r="E462" i="4"/>
  <c r="B462" i="4"/>
  <c r="U461" i="4"/>
  <c r="K461" i="4"/>
  <c r="E461" i="4"/>
  <c r="B461" i="4"/>
  <c r="U460" i="4"/>
  <c r="K460" i="4"/>
  <c r="E460" i="4"/>
  <c r="B460" i="4"/>
  <c r="U459" i="4"/>
  <c r="K459" i="4"/>
  <c r="E459" i="4"/>
  <c r="B459" i="4"/>
  <c r="U458" i="4"/>
  <c r="K458" i="4"/>
  <c r="E458" i="4"/>
  <c r="B458" i="4"/>
  <c r="U457" i="4"/>
  <c r="K457" i="4"/>
  <c r="E457" i="4"/>
  <c r="B457" i="4"/>
  <c r="U456" i="4"/>
  <c r="K456" i="4"/>
  <c r="E456" i="4"/>
  <c r="B456" i="4"/>
  <c r="U455" i="4"/>
  <c r="K455" i="4"/>
  <c r="E455" i="4"/>
  <c r="B455" i="4"/>
  <c r="U454" i="4"/>
  <c r="K454" i="4"/>
  <c r="E454" i="4"/>
  <c r="B454" i="4"/>
  <c r="U453" i="4"/>
  <c r="K453" i="4"/>
  <c r="E453" i="4"/>
  <c r="B453" i="4"/>
  <c r="U452" i="4"/>
  <c r="K452" i="4"/>
  <c r="E452" i="4"/>
  <c r="B452" i="4"/>
  <c r="U451" i="4"/>
  <c r="K451" i="4"/>
  <c r="E451" i="4"/>
  <c r="B451" i="4"/>
  <c r="U450" i="4"/>
  <c r="K450" i="4"/>
  <c r="E450" i="4"/>
  <c r="B450" i="4"/>
  <c r="U449" i="4"/>
  <c r="K449" i="4"/>
  <c r="E449" i="4"/>
  <c r="B449" i="4"/>
  <c r="U448" i="4"/>
  <c r="K448" i="4"/>
  <c r="E448" i="4"/>
  <c r="B448" i="4"/>
  <c r="U447" i="4"/>
  <c r="K447" i="4"/>
  <c r="E447" i="4"/>
  <c r="B447" i="4"/>
  <c r="U446" i="4"/>
  <c r="K446" i="4"/>
  <c r="E446" i="4"/>
  <c r="B446" i="4"/>
  <c r="U445" i="4"/>
  <c r="K445" i="4"/>
  <c r="E445" i="4"/>
  <c r="B445" i="4"/>
  <c r="U444" i="4"/>
  <c r="K444" i="4"/>
  <c r="E444" i="4"/>
  <c r="B444" i="4"/>
  <c r="U443" i="4"/>
  <c r="K443" i="4"/>
  <c r="E443" i="4"/>
  <c r="B443" i="4"/>
  <c r="U442" i="4"/>
  <c r="K442" i="4"/>
  <c r="E442" i="4"/>
  <c r="B442" i="4"/>
  <c r="U441" i="4"/>
  <c r="K441" i="4"/>
  <c r="E441" i="4"/>
  <c r="B441" i="4"/>
  <c r="U440" i="4"/>
  <c r="K440" i="4"/>
  <c r="E440" i="4"/>
  <c r="B440" i="4"/>
  <c r="U439" i="4"/>
  <c r="K439" i="4"/>
  <c r="E439" i="4"/>
  <c r="B439" i="4"/>
  <c r="U438" i="4"/>
  <c r="K438" i="4"/>
  <c r="E438" i="4"/>
  <c r="B438" i="4"/>
  <c r="U437" i="4"/>
  <c r="K437" i="4"/>
  <c r="E437" i="4"/>
  <c r="B437" i="4"/>
  <c r="U436" i="4"/>
  <c r="K436" i="4"/>
  <c r="E436" i="4"/>
  <c r="B436" i="4"/>
  <c r="U435" i="4"/>
  <c r="K435" i="4"/>
  <c r="E435" i="4"/>
  <c r="B435" i="4"/>
  <c r="U434" i="4"/>
  <c r="K434" i="4"/>
  <c r="E434" i="4"/>
  <c r="B434" i="4"/>
  <c r="U433" i="4"/>
  <c r="K433" i="4"/>
  <c r="E433" i="4"/>
  <c r="B433" i="4"/>
  <c r="U432" i="4"/>
  <c r="K432" i="4"/>
  <c r="E432" i="4"/>
  <c r="B432" i="4"/>
  <c r="U431" i="4"/>
  <c r="K431" i="4"/>
  <c r="E431" i="4"/>
  <c r="B431" i="4"/>
  <c r="U430" i="4"/>
  <c r="K430" i="4"/>
  <c r="E430" i="4"/>
  <c r="B430" i="4"/>
  <c r="U429" i="4"/>
  <c r="K429" i="4"/>
  <c r="E429" i="4"/>
  <c r="B429" i="4"/>
  <c r="U428" i="4"/>
  <c r="K428" i="4"/>
  <c r="E428" i="4"/>
  <c r="B428" i="4"/>
  <c r="U427" i="4"/>
  <c r="K427" i="4"/>
  <c r="E427" i="4"/>
  <c r="B427" i="4"/>
  <c r="U426" i="4"/>
  <c r="K426" i="4"/>
  <c r="E426" i="4"/>
  <c r="B426" i="4"/>
  <c r="U425" i="4"/>
  <c r="K425" i="4"/>
  <c r="E425" i="4"/>
  <c r="B425" i="4"/>
  <c r="U424" i="4"/>
  <c r="K424" i="4"/>
  <c r="E424" i="4"/>
  <c r="B424" i="4"/>
  <c r="U423" i="4"/>
  <c r="K423" i="4"/>
  <c r="E423" i="4"/>
  <c r="B423" i="4"/>
  <c r="U422" i="4"/>
  <c r="K422" i="4"/>
  <c r="E422" i="4"/>
  <c r="B422" i="4"/>
  <c r="U421" i="4"/>
  <c r="K421" i="4"/>
  <c r="E421" i="4"/>
  <c r="B421" i="4"/>
  <c r="U420" i="4"/>
  <c r="K420" i="4"/>
  <c r="E420" i="4"/>
  <c r="B420" i="4"/>
  <c r="U419" i="4"/>
  <c r="K419" i="4"/>
  <c r="E419" i="4"/>
  <c r="B419" i="4"/>
  <c r="U418" i="4"/>
  <c r="K418" i="4"/>
  <c r="E418" i="4"/>
  <c r="B418" i="4"/>
  <c r="U417" i="4"/>
  <c r="K417" i="4"/>
  <c r="E417" i="4"/>
  <c r="B417" i="4"/>
  <c r="U416" i="4"/>
  <c r="K416" i="4"/>
  <c r="E416" i="4"/>
  <c r="B416" i="4"/>
  <c r="U415" i="4"/>
  <c r="K415" i="4"/>
  <c r="E415" i="4"/>
  <c r="B415" i="4"/>
  <c r="U414" i="4"/>
  <c r="K414" i="4"/>
  <c r="E414" i="4"/>
  <c r="B414" i="4"/>
  <c r="U413" i="4"/>
  <c r="K413" i="4"/>
  <c r="E413" i="4"/>
  <c r="B413" i="4"/>
  <c r="U412" i="4"/>
  <c r="K412" i="4"/>
  <c r="E412" i="4"/>
  <c r="B412" i="4"/>
  <c r="U411" i="4"/>
  <c r="K411" i="4"/>
  <c r="E411" i="4"/>
  <c r="B411" i="4"/>
  <c r="U410" i="4"/>
  <c r="K410" i="4"/>
  <c r="E410" i="4"/>
  <c r="B410" i="4"/>
  <c r="U409" i="4"/>
  <c r="K409" i="4"/>
  <c r="E409" i="4"/>
  <c r="B409" i="4"/>
  <c r="U408" i="4"/>
  <c r="K408" i="4"/>
  <c r="E408" i="4"/>
  <c r="B408" i="4"/>
  <c r="U407" i="4"/>
  <c r="K407" i="4"/>
  <c r="E407" i="4"/>
  <c r="B407" i="4"/>
  <c r="U406" i="4"/>
  <c r="K406" i="4"/>
  <c r="E406" i="4"/>
  <c r="B406" i="4"/>
  <c r="U405" i="4"/>
  <c r="K405" i="4"/>
  <c r="E405" i="4"/>
  <c r="B405" i="4"/>
  <c r="U404" i="4"/>
  <c r="K404" i="4"/>
  <c r="E404" i="4"/>
  <c r="B404" i="4"/>
  <c r="U403" i="4"/>
  <c r="K403" i="4"/>
  <c r="E403" i="4"/>
  <c r="B403" i="4"/>
  <c r="U402" i="4"/>
  <c r="K402" i="4"/>
  <c r="E402" i="4"/>
  <c r="B402" i="4"/>
  <c r="U401" i="4"/>
  <c r="K401" i="4"/>
  <c r="E401" i="4"/>
  <c r="B401" i="4"/>
  <c r="U400" i="4"/>
  <c r="K400" i="4"/>
  <c r="E400" i="4"/>
  <c r="B400" i="4"/>
  <c r="U399" i="4"/>
  <c r="K399" i="4"/>
  <c r="E399" i="4"/>
  <c r="B399" i="4"/>
  <c r="U398" i="4"/>
  <c r="K398" i="4"/>
  <c r="E398" i="4"/>
  <c r="B398" i="4"/>
  <c r="U397" i="4"/>
  <c r="K397" i="4"/>
  <c r="E397" i="4"/>
  <c r="B397" i="4"/>
  <c r="U396" i="4"/>
  <c r="K396" i="4"/>
  <c r="E396" i="4"/>
  <c r="B396" i="4"/>
  <c r="U395" i="4"/>
  <c r="K395" i="4"/>
  <c r="E395" i="4"/>
  <c r="B395" i="4"/>
  <c r="U394" i="4"/>
  <c r="K394" i="4"/>
  <c r="E394" i="4"/>
  <c r="B394" i="4"/>
  <c r="U393" i="4"/>
  <c r="K393" i="4"/>
  <c r="E393" i="4"/>
  <c r="B393" i="4"/>
  <c r="U392" i="4"/>
  <c r="K392" i="4"/>
  <c r="E392" i="4"/>
  <c r="B392" i="4"/>
  <c r="U391" i="4"/>
  <c r="K391" i="4"/>
  <c r="E391" i="4"/>
  <c r="B391" i="4"/>
  <c r="U390" i="4"/>
  <c r="K390" i="4"/>
  <c r="E390" i="4"/>
  <c r="B390" i="4"/>
  <c r="U389" i="4"/>
  <c r="K389" i="4"/>
  <c r="E389" i="4"/>
  <c r="B389" i="4"/>
  <c r="U388" i="4"/>
  <c r="K388" i="4"/>
  <c r="E388" i="4"/>
  <c r="B388" i="4"/>
  <c r="U387" i="4"/>
  <c r="K387" i="4"/>
  <c r="E387" i="4"/>
  <c r="B387" i="4"/>
  <c r="U386" i="4"/>
  <c r="K386" i="4"/>
  <c r="E386" i="4"/>
  <c r="B386" i="4"/>
  <c r="U385" i="4"/>
  <c r="K385" i="4"/>
  <c r="E385" i="4"/>
  <c r="B385" i="4"/>
  <c r="U384" i="4"/>
  <c r="K384" i="4"/>
  <c r="E384" i="4"/>
  <c r="B384" i="4"/>
  <c r="U383" i="4"/>
  <c r="K383" i="4"/>
  <c r="E383" i="4"/>
  <c r="B383" i="4"/>
  <c r="U382" i="4"/>
  <c r="K382" i="4"/>
  <c r="E382" i="4"/>
  <c r="B382" i="4"/>
  <c r="U381" i="4"/>
  <c r="K381" i="4"/>
  <c r="E381" i="4"/>
  <c r="B381" i="4"/>
  <c r="U380" i="4"/>
  <c r="K380" i="4"/>
  <c r="E380" i="4"/>
  <c r="B380" i="4"/>
  <c r="U379" i="4"/>
  <c r="K379" i="4"/>
  <c r="E379" i="4"/>
  <c r="B379" i="4"/>
  <c r="U378" i="4"/>
  <c r="K378" i="4"/>
  <c r="E378" i="4"/>
  <c r="B378" i="4"/>
  <c r="U377" i="4"/>
  <c r="K377" i="4"/>
  <c r="E377" i="4"/>
  <c r="B377" i="4"/>
  <c r="U376" i="4"/>
  <c r="K376" i="4"/>
  <c r="E376" i="4"/>
  <c r="B376" i="4"/>
  <c r="U375" i="4"/>
  <c r="K375" i="4"/>
  <c r="E375" i="4"/>
  <c r="B375" i="4"/>
  <c r="U374" i="4"/>
  <c r="K374" i="4"/>
  <c r="E374" i="4"/>
  <c r="B374" i="4"/>
  <c r="U373" i="4"/>
  <c r="K373" i="4"/>
  <c r="E373" i="4"/>
  <c r="B373" i="4"/>
  <c r="U372" i="4"/>
  <c r="K372" i="4"/>
  <c r="E372" i="4"/>
  <c r="B372" i="4"/>
  <c r="U371" i="4"/>
  <c r="K371" i="4"/>
  <c r="E371" i="4"/>
  <c r="B371" i="4"/>
  <c r="U370" i="4"/>
  <c r="K370" i="4"/>
  <c r="E370" i="4"/>
  <c r="B370" i="4"/>
  <c r="U369" i="4"/>
  <c r="K369" i="4"/>
  <c r="E369" i="4"/>
  <c r="B369" i="4"/>
  <c r="U368" i="4"/>
  <c r="K368" i="4"/>
  <c r="E368" i="4"/>
  <c r="B368" i="4"/>
  <c r="U367" i="4"/>
  <c r="K367" i="4"/>
  <c r="E367" i="4"/>
  <c r="B367" i="4"/>
  <c r="U366" i="4"/>
  <c r="K366" i="4"/>
  <c r="E366" i="4"/>
  <c r="B366" i="4"/>
  <c r="U365" i="4"/>
  <c r="K365" i="4"/>
  <c r="E365" i="4"/>
  <c r="B365" i="4"/>
  <c r="U364" i="4"/>
  <c r="K364" i="4"/>
  <c r="E364" i="4"/>
  <c r="B364" i="4"/>
  <c r="U363" i="4"/>
  <c r="K363" i="4"/>
  <c r="E363" i="4"/>
  <c r="B363" i="4"/>
  <c r="U362" i="4"/>
  <c r="K362" i="4"/>
  <c r="E362" i="4"/>
  <c r="B362" i="4"/>
  <c r="U361" i="4"/>
  <c r="K361" i="4"/>
  <c r="E361" i="4"/>
  <c r="B361" i="4"/>
  <c r="U360" i="4"/>
  <c r="K360" i="4"/>
  <c r="E360" i="4"/>
  <c r="B360" i="4"/>
  <c r="U359" i="4"/>
  <c r="K359" i="4"/>
  <c r="E359" i="4"/>
  <c r="B359" i="4"/>
  <c r="U358" i="4"/>
  <c r="K358" i="4"/>
  <c r="E358" i="4"/>
  <c r="B358" i="4"/>
  <c r="U357" i="4"/>
  <c r="K357" i="4"/>
  <c r="E357" i="4"/>
  <c r="B357" i="4"/>
  <c r="U356" i="4"/>
  <c r="K356" i="4"/>
  <c r="E356" i="4"/>
  <c r="B356" i="4"/>
  <c r="U355" i="4"/>
  <c r="K355" i="4"/>
  <c r="E355" i="4"/>
  <c r="B355" i="4"/>
  <c r="U354" i="4"/>
  <c r="K354" i="4"/>
  <c r="E354" i="4"/>
  <c r="B354" i="4"/>
  <c r="U353" i="4"/>
  <c r="K353" i="4"/>
  <c r="E353" i="4"/>
  <c r="B353" i="4"/>
  <c r="U352" i="4"/>
  <c r="K352" i="4"/>
  <c r="E352" i="4"/>
  <c r="B352" i="4"/>
  <c r="U351" i="4"/>
  <c r="K351" i="4"/>
  <c r="E351" i="4"/>
  <c r="B351" i="4"/>
  <c r="U350" i="4"/>
  <c r="K350" i="4"/>
  <c r="E350" i="4"/>
  <c r="B350" i="4"/>
  <c r="U349" i="4"/>
  <c r="K349" i="4"/>
  <c r="E349" i="4"/>
  <c r="B349" i="4"/>
  <c r="U348" i="4"/>
  <c r="K348" i="4"/>
  <c r="E348" i="4"/>
  <c r="B348" i="4"/>
  <c r="U347" i="4"/>
  <c r="K347" i="4"/>
  <c r="E347" i="4"/>
  <c r="B347" i="4"/>
  <c r="U346" i="4"/>
  <c r="K346" i="4"/>
  <c r="E346" i="4"/>
  <c r="B346" i="4"/>
  <c r="U345" i="4"/>
  <c r="K345" i="4"/>
  <c r="E345" i="4"/>
  <c r="B345" i="4"/>
  <c r="U344" i="4"/>
  <c r="K344" i="4"/>
  <c r="E344" i="4"/>
  <c r="B344" i="4"/>
  <c r="U343" i="4"/>
  <c r="K343" i="4"/>
  <c r="E343" i="4"/>
  <c r="B343" i="4"/>
  <c r="U342" i="4"/>
  <c r="K342" i="4"/>
  <c r="E342" i="4"/>
  <c r="B342" i="4"/>
  <c r="U341" i="4"/>
  <c r="K341" i="4"/>
  <c r="E341" i="4"/>
  <c r="B341" i="4"/>
  <c r="U340" i="4"/>
  <c r="K340" i="4"/>
  <c r="E340" i="4"/>
  <c r="B340" i="4"/>
  <c r="U339" i="4"/>
  <c r="K339" i="4"/>
  <c r="E339" i="4"/>
  <c r="B339" i="4"/>
  <c r="U338" i="4"/>
  <c r="K338" i="4"/>
  <c r="E338" i="4"/>
  <c r="B338" i="4"/>
  <c r="U337" i="4"/>
  <c r="K337" i="4"/>
  <c r="E337" i="4"/>
  <c r="B337" i="4"/>
  <c r="U336" i="4"/>
  <c r="K336" i="4"/>
  <c r="E336" i="4"/>
  <c r="B336" i="4"/>
  <c r="U335" i="4"/>
  <c r="K335" i="4"/>
  <c r="E335" i="4"/>
  <c r="B335" i="4"/>
  <c r="U334" i="4"/>
  <c r="K334" i="4"/>
  <c r="E334" i="4"/>
  <c r="B334" i="4"/>
  <c r="U333" i="4"/>
  <c r="K333" i="4"/>
  <c r="E333" i="4"/>
  <c r="B333" i="4"/>
  <c r="U332" i="4"/>
  <c r="K332" i="4"/>
  <c r="E332" i="4"/>
  <c r="B332" i="4"/>
  <c r="U331" i="4"/>
  <c r="K331" i="4"/>
  <c r="E331" i="4"/>
  <c r="B331" i="4"/>
  <c r="U330" i="4"/>
  <c r="K330" i="4"/>
  <c r="E330" i="4"/>
  <c r="B330" i="4"/>
  <c r="U329" i="4"/>
  <c r="K329" i="4"/>
  <c r="E329" i="4"/>
  <c r="B329" i="4"/>
  <c r="U328" i="4"/>
  <c r="K328" i="4"/>
  <c r="E328" i="4"/>
  <c r="B328" i="4"/>
  <c r="U327" i="4"/>
  <c r="K327" i="4"/>
  <c r="E327" i="4"/>
  <c r="B327" i="4"/>
  <c r="U326" i="4"/>
  <c r="K326" i="4"/>
  <c r="E326" i="4"/>
  <c r="B326" i="4"/>
  <c r="U325" i="4"/>
  <c r="K325" i="4"/>
  <c r="E325" i="4"/>
  <c r="B325" i="4"/>
  <c r="U324" i="4"/>
  <c r="K324" i="4"/>
  <c r="E324" i="4"/>
  <c r="B324" i="4"/>
  <c r="U323" i="4"/>
  <c r="K323" i="4"/>
  <c r="E323" i="4"/>
  <c r="B323" i="4"/>
  <c r="U322" i="4"/>
  <c r="K322" i="4"/>
  <c r="E322" i="4"/>
  <c r="B322" i="4"/>
  <c r="U321" i="4"/>
  <c r="K321" i="4"/>
  <c r="E321" i="4"/>
  <c r="B321" i="4"/>
  <c r="U320" i="4"/>
  <c r="K320" i="4"/>
  <c r="E320" i="4"/>
  <c r="B320" i="4"/>
  <c r="U319" i="4"/>
  <c r="K319" i="4"/>
  <c r="E319" i="4"/>
  <c r="B319" i="4"/>
  <c r="U318" i="4"/>
  <c r="K318" i="4"/>
  <c r="E318" i="4"/>
  <c r="B318" i="4"/>
  <c r="U317" i="4"/>
  <c r="K317" i="4"/>
  <c r="E317" i="4"/>
  <c r="B317" i="4"/>
  <c r="U316" i="4"/>
  <c r="K316" i="4"/>
  <c r="E316" i="4"/>
  <c r="B316" i="4"/>
  <c r="U315" i="4"/>
  <c r="K315" i="4"/>
  <c r="E315" i="4"/>
  <c r="B315" i="4"/>
  <c r="U314" i="4"/>
  <c r="K314" i="4"/>
  <c r="E314" i="4"/>
  <c r="B314" i="4"/>
  <c r="U313" i="4"/>
  <c r="K313" i="4"/>
  <c r="E313" i="4"/>
  <c r="B313" i="4"/>
  <c r="U312" i="4"/>
  <c r="K312" i="4"/>
  <c r="E312" i="4"/>
  <c r="B312" i="4"/>
  <c r="U311" i="4"/>
  <c r="K311" i="4"/>
  <c r="E311" i="4"/>
  <c r="B311" i="4"/>
  <c r="U310" i="4"/>
  <c r="K310" i="4"/>
  <c r="E310" i="4"/>
  <c r="B310" i="4"/>
  <c r="U309" i="4"/>
  <c r="K309" i="4"/>
  <c r="E309" i="4"/>
  <c r="B309" i="4"/>
  <c r="U308" i="4"/>
  <c r="K308" i="4"/>
  <c r="H308" i="4"/>
  <c r="E308" i="4"/>
  <c r="B308" i="4"/>
  <c r="U307" i="4"/>
  <c r="K307" i="4"/>
  <c r="E307" i="4"/>
  <c r="B307" i="4"/>
  <c r="U306" i="4"/>
  <c r="K306" i="4"/>
  <c r="E306" i="4"/>
  <c r="B306" i="4"/>
  <c r="U305" i="4"/>
  <c r="K305" i="4"/>
  <c r="E305" i="4"/>
  <c r="B305" i="4"/>
  <c r="U304" i="4"/>
  <c r="K304" i="4"/>
  <c r="E304" i="4"/>
  <c r="B304" i="4"/>
  <c r="U303" i="4"/>
  <c r="K303" i="4"/>
  <c r="E303" i="4"/>
  <c r="B303" i="4"/>
  <c r="U302" i="4"/>
  <c r="K302" i="4"/>
  <c r="E302" i="4"/>
  <c r="B302" i="4"/>
  <c r="U301" i="4"/>
  <c r="K301" i="4"/>
  <c r="E301" i="4"/>
  <c r="B301" i="4"/>
  <c r="U300" i="4"/>
  <c r="K300" i="4"/>
  <c r="E300" i="4"/>
  <c r="B300" i="4"/>
  <c r="U299" i="4"/>
  <c r="K299" i="4"/>
  <c r="E299" i="4"/>
  <c r="B299" i="4"/>
  <c r="U298" i="4"/>
  <c r="K298" i="4"/>
  <c r="E298" i="4"/>
  <c r="B298" i="4"/>
  <c r="U297" i="4"/>
  <c r="K297" i="4"/>
  <c r="E297" i="4"/>
  <c r="B297" i="4"/>
  <c r="U296" i="4"/>
  <c r="K296" i="4"/>
  <c r="E296" i="4"/>
  <c r="B296" i="4"/>
  <c r="U295" i="4"/>
  <c r="K295" i="4"/>
  <c r="E295" i="4"/>
  <c r="B295" i="4"/>
  <c r="U294" i="4"/>
  <c r="K294" i="4"/>
  <c r="E294" i="4"/>
  <c r="B294" i="4"/>
  <c r="U293" i="4"/>
  <c r="K293" i="4"/>
  <c r="E293" i="4"/>
  <c r="B293" i="4"/>
  <c r="U292" i="4"/>
  <c r="K292" i="4"/>
  <c r="E292" i="4"/>
  <c r="B292" i="4"/>
  <c r="U291" i="4"/>
  <c r="K291" i="4"/>
  <c r="E291" i="4"/>
  <c r="B291" i="4"/>
  <c r="U290" i="4"/>
  <c r="K290" i="4"/>
  <c r="E290" i="4"/>
  <c r="B290" i="4"/>
  <c r="U289" i="4"/>
  <c r="K289" i="4"/>
  <c r="E289" i="4"/>
  <c r="B289" i="4"/>
  <c r="U288" i="4"/>
  <c r="K288" i="4"/>
  <c r="E288" i="4"/>
  <c r="B288" i="4"/>
  <c r="U287" i="4"/>
  <c r="K287" i="4"/>
  <c r="E287" i="4"/>
  <c r="B287" i="4"/>
  <c r="U286" i="4"/>
  <c r="K286" i="4"/>
  <c r="E286" i="4"/>
  <c r="B286" i="4"/>
  <c r="U285" i="4"/>
  <c r="K285" i="4"/>
  <c r="E285" i="4"/>
  <c r="B285" i="4"/>
  <c r="U284" i="4"/>
  <c r="K284" i="4"/>
  <c r="E284" i="4"/>
  <c r="B284" i="4"/>
  <c r="U283" i="4"/>
  <c r="K283" i="4"/>
  <c r="E283" i="4"/>
  <c r="B283" i="4"/>
  <c r="U282" i="4"/>
  <c r="K282" i="4"/>
  <c r="E282" i="4"/>
  <c r="B282" i="4"/>
  <c r="U281" i="4"/>
  <c r="K281" i="4"/>
  <c r="E281" i="4"/>
  <c r="B281" i="4"/>
  <c r="U280" i="4"/>
  <c r="K280" i="4"/>
  <c r="E280" i="4"/>
  <c r="B280" i="4"/>
  <c r="U279" i="4"/>
  <c r="K279" i="4"/>
  <c r="E279" i="4"/>
  <c r="B279" i="4"/>
  <c r="U278" i="4"/>
  <c r="K278" i="4"/>
  <c r="E278" i="4"/>
  <c r="B278" i="4"/>
  <c r="U277" i="4"/>
  <c r="K277" i="4"/>
  <c r="E277" i="4"/>
  <c r="B277" i="4"/>
  <c r="U276" i="4"/>
  <c r="K276" i="4"/>
  <c r="E276" i="4"/>
  <c r="B276" i="4"/>
  <c r="U275" i="4"/>
  <c r="K275" i="4"/>
  <c r="E275" i="4"/>
  <c r="B275" i="4"/>
  <c r="U274" i="4"/>
  <c r="K274" i="4"/>
  <c r="E274" i="4"/>
  <c r="B274" i="4"/>
  <c r="U273" i="4"/>
  <c r="K273" i="4"/>
  <c r="E273" i="4"/>
  <c r="B273" i="4"/>
  <c r="U272" i="4"/>
  <c r="K272" i="4"/>
  <c r="E272" i="4"/>
  <c r="B272" i="4"/>
  <c r="U271" i="4"/>
  <c r="K271" i="4"/>
  <c r="E271" i="4"/>
  <c r="B271" i="4"/>
  <c r="U270" i="4"/>
  <c r="K270" i="4"/>
  <c r="E270" i="4"/>
  <c r="B270" i="4"/>
  <c r="U269" i="4"/>
  <c r="K269" i="4"/>
  <c r="E269" i="4"/>
  <c r="B269" i="4"/>
  <c r="U268" i="4"/>
  <c r="K268" i="4"/>
  <c r="E268" i="4"/>
  <c r="B268" i="4"/>
  <c r="U267" i="4"/>
  <c r="K267" i="4"/>
  <c r="E267" i="4"/>
  <c r="B267" i="4"/>
  <c r="U266" i="4"/>
  <c r="K266" i="4"/>
  <c r="E266" i="4"/>
  <c r="B266" i="4"/>
  <c r="U265" i="4"/>
  <c r="K265" i="4"/>
  <c r="E265" i="4"/>
  <c r="B265" i="4"/>
  <c r="U264" i="4"/>
  <c r="K264" i="4"/>
  <c r="E264" i="4"/>
  <c r="B264" i="4"/>
  <c r="U263" i="4"/>
  <c r="K263" i="4"/>
  <c r="E263" i="4"/>
  <c r="B263" i="4"/>
  <c r="U262" i="4"/>
  <c r="K262" i="4"/>
  <c r="E262" i="4"/>
  <c r="B262" i="4"/>
  <c r="U261" i="4"/>
  <c r="K261" i="4"/>
  <c r="E261" i="4"/>
  <c r="B261" i="4"/>
  <c r="U260" i="4"/>
  <c r="K260" i="4"/>
  <c r="E260" i="4"/>
  <c r="B260" i="4"/>
  <c r="U259" i="4"/>
  <c r="K259" i="4"/>
  <c r="E259" i="4"/>
  <c r="B259" i="4"/>
  <c r="U258" i="4"/>
  <c r="K258" i="4"/>
  <c r="E258" i="4"/>
  <c r="B258" i="4"/>
  <c r="U257" i="4"/>
  <c r="K257" i="4"/>
  <c r="E257" i="4"/>
  <c r="B257" i="4"/>
  <c r="U256" i="4"/>
  <c r="K256" i="4"/>
  <c r="E256" i="4"/>
  <c r="B256" i="4"/>
  <c r="U255" i="4"/>
  <c r="K255" i="4"/>
  <c r="E255" i="4"/>
  <c r="B255" i="4"/>
  <c r="U254" i="4"/>
  <c r="K254" i="4"/>
  <c r="E254" i="4"/>
  <c r="B254" i="4"/>
  <c r="U253" i="4"/>
  <c r="K253" i="4"/>
  <c r="E253" i="4"/>
  <c r="B253" i="4"/>
  <c r="U252" i="4"/>
  <c r="K252" i="4"/>
  <c r="E252" i="4"/>
  <c r="B252" i="4"/>
  <c r="U251" i="4"/>
  <c r="K251" i="4"/>
  <c r="E251" i="4"/>
  <c r="B251" i="4"/>
  <c r="U250" i="4"/>
  <c r="K250" i="4"/>
  <c r="E250" i="4"/>
  <c r="B250" i="4"/>
  <c r="U249" i="4"/>
  <c r="K249" i="4"/>
  <c r="E249" i="4"/>
  <c r="B249" i="4"/>
  <c r="U248" i="4"/>
  <c r="K248" i="4"/>
  <c r="E248" i="4"/>
  <c r="B248" i="4"/>
  <c r="U247" i="4"/>
  <c r="K247" i="4"/>
  <c r="E247" i="4"/>
  <c r="B247" i="4"/>
  <c r="U246" i="4"/>
  <c r="K246" i="4"/>
  <c r="E246" i="4"/>
  <c r="B246" i="4"/>
  <c r="U245" i="4"/>
  <c r="K245" i="4"/>
  <c r="E245" i="4"/>
  <c r="B245" i="4"/>
  <c r="U244" i="4"/>
  <c r="K244" i="4"/>
  <c r="E244" i="4"/>
  <c r="B244" i="4"/>
  <c r="U243" i="4"/>
  <c r="K243" i="4"/>
  <c r="E243" i="4"/>
  <c r="B243" i="4"/>
  <c r="U242" i="4"/>
  <c r="K242" i="4"/>
  <c r="E242" i="4"/>
  <c r="B242" i="4"/>
  <c r="U241" i="4"/>
  <c r="K241" i="4"/>
  <c r="E241" i="4"/>
  <c r="B241" i="4"/>
  <c r="U240" i="4"/>
  <c r="K240" i="4"/>
  <c r="E240" i="4"/>
  <c r="B240" i="4"/>
  <c r="U239" i="4"/>
  <c r="K239" i="4"/>
  <c r="E239" i="4"/>
  <c r="B239" i="4"/>
  <c r="U238" i="4"/>
  <c r="K238" i="4"/>
  <c r="E238" i="4"/>
  <c r="B238" i="4"/>
  <c r="U237" i="4"/>
  <c r="K237" i="4"/>
  <c r="E237" i="4"/>
  <c r="B237" i="4"/>
  <c r="U236" i="4"/>
  <c r="K236" i="4"/>
  <c r="E236" i="4"/>
  <c r="B236" i="4"/>
  <c r="U235" i="4"/>
  <c r="K235" i="4"/>
  <c r="E235" i="4"/>
  <c r="B235" i="4"/>
  <c r="U234" i="4"/>
  <c r="K234" i="4"/>
  <c r="E234" i="4"/>
  <c r="B234" i="4"/>
  <c r="U233" i="4"/>
  <c r="K233" i="4"/>
  <c r="E233" i="4"/>
  <c r="B233" i="4"/>
  <c r="U232" i="4"/>
  <c r="K232" i="4"/>
  <c r="E232" i="4"/>
  <c r="B232" i="4"/>
  <c r="U231" i="4"/>
  <c r="K231" i="4"/>
  <c r="E231" i="4"/>
  <c r="B231" i="4"/>
  <c r="U230" i="4"/>
  <c r="K230" i="4"/>
  <c r="E230" i="4"/>
  <c r="B230" i="4"/>
  <c r="U229" i="4"/>
  <c r="K229" i="4"/>
  <c r="E229" i="4"/>
  <c r="B229" i="4"/>
  <c r="U228" i="4"/>
  <c r="K228" i="4"/>
  <c r="E228" i="4"/>
  <c r="B228" i="4"/>
  <c r="U227" i="4"/>
  <c r="K227" i="4"/>
  <c r="E227" i="4"/>
  <c r="B227" i="4"/>
  <c r="U226" i="4"/>
  <c r="K226" i="4"/>
  <c r="E226" i="4"/>
  <c r="B226" i="4"/>
  <c r="U225" i="4"/>
  <c r="K225" i="4"/>
  <c r="E225" i="4"/>
  <c r="B225" i="4"/>
  <c r="U224" i="4"/>
  <c r="K224" i="4"/>
  <c r="E224" i="4"/>
  <c r="B224" i="4"/>
  <c r="U223" i="4"/>
  <c r="K223" i="4"/>
  <c r="E223" i="4"/>
  <c r="B223" i="4"/>
  <c r="U222" i="4"/>
  <c r="K222" i="4"/>
  <c r="E222" i="4"/>
  <c r="B222" i="4"/>
  <c r="U221" i="4"/>
  <c r="K221" i="4"/>
  <c r="E221" i="4"/>
  <c r="B221" i="4"/>
  <c r="U220" i="4"/>
  <c r="K220" i="4"/>
  <c r="E220" i="4"/>
  <c r="B220" i="4"/>
  <c r="U219" i="4"/>
  <c r="K219" i="4"/>
  <c r="E219" i="4"/>
  <c r="B219" i="4"/>
  <c r="U218" i="4"/>
  <c r="K218" i="4"/>
  <c r="E218" i="4"/>
  <c r="B218" i="4"/>
  <c r="U217" i="4"/>
  <c r="K217" i="4"/>
  <c r="E217" i="4"/>
  <c r="B217" i="4"/>
  <c r="U216" i="4"/>
  <c r="K216" i="4"/>
  <c r="E216" i="4"/>
  <c r="B216" i="4"/>
  <c r="U215" i="4"/>
  <c r="K215" i="4"/>
  <c r="E215" i="4"/>
  <c r="B215" i="4"/>
  <c r="U214" i="4"/>
  <c r="K214" i="4"/>
  <c r="E214" i="4"/>
  <c r="B214" i="4"/>
  <c r="U213" i="4"/>
  <c r="K213" i="4"/>
  <c r="E213" i="4"/>
  <c r="B213" i="4"/>
  <c r="U212" i="4"/>
  <c r="K212" i="4"/>
  <c r="E212" i="4"/>
  <c r="B212" i="4"/>
  <c r="U211" i="4"/>
  <c r="K211" i="4"/>
  <c r="E211" i="4"/>
  <c r="B211" i="4"/>
  <c r="U210" i="4"/>
  <c r="K210" i="4"/>
  <c r="E210" i="4"/>
  <c r="B210" i="4"/>
  <c r="U209" i="4"/>
  <c r="K209" i="4"/>
  <c r="E209" i="4"/>
  <c r="B209" i="4"/>
  <c r="U208" i="4"/>
  <c r="K208" i="4"/>
  <c r="E208" i="4"/>
  <c r="B208" i="4"/>
  <c r="U207" i="4"/>
  <c r="K207" i="4"/>
  <c r="E207" i="4"/>
  <c r="B207" i="4"/>
  <c r="U206" i="4"/>
  <c r="K206" i="4"/>
  <c r="E206" i="4"/>
  <c r="B206" i="4"/>
  <c r="U205" i="4"/>
  <c r="K205" i="4"/>
  <c r="E205" i="4"/>
  <c r="B205" i="4"/>
  <c r="U204" i="4"/>
  <c r="K204" i="4"/>
  <c r="E204" i="4"/>
  <c r="B204" i="4"/>
  <c r="U203" i="4"/>
  <c r="K203" i="4"/>
  <c r="E203" i="4"/>
  <c r="B203" i="4"/>
  <c r="U202" i="4"/>
  <c r="K202" i="4"/>
  <c r="E202" i="4"/>
  <c r="B202" i="4"/>
  <c r="U201" i="4"/>
  <c r="K201" i="4"/>
  <c r="E201" i="4"/>
  <c r="B201" i="4"/>
  <c r="U200" i="4"/>
  <c r="K200" i="4"/>
  <c r="E200" i="4"/>
  <c r="B200" i="4"/>
  <c r="U199" i="4"/>
  <c r="K199" i="4"/>
  <c r="E199" i="4"/>
  <c r="B199" i="4"/>
  <c r="U198" i="4"/>
  <c r="K198" i="4"/>
  <c r="E198" i="4"/>
  <c r="B198" i="4"/>
  <c r="U197" i="4"/>
  <c r="K197" i="4"/>
  <c r="E197" i="4"/>
  <c r="B197" i="4"/>
  <c r="U196" i="4"/>
  <c r="K196" i="4"/>
  <c r="E196" i="4"/>
  <c r="B196" i="4"/>
  <c r="U195" i="4"/>
  <c r="K195" i="4"/>
  <c r="E195" i="4"/>
  <c r="B195" i="4"/>
  <c r="U194" i="4"/>
  <c r="K194" i="4"/>
  <c r="E194" i="4"/>
  <c r="B194" i="4"/>
  <c r="U193" i="4"/>
  <c r="K193" i="4"/>
  <c r="E193" i="4"/>
  <c r="B193" i="4"/>
  <c r="U192" i="4"/>
  <c r="K192" i="4"/>
  <c r="E192" i="4"/>
  <c r="B192" i="4"/>
  <c r="U191" i="4"/>
  <c r="K191" i="4"/>
  <c r="E191" i="4"/>
  <c r="B191" i="4"/>
  <c r="U190" i="4"/>
  <c r="K190" i="4"/>
  <c r="E190" i="4"/>
  <c r="B190" i="4"/>
  <c r="U189" i="4"/>
  <c r="K189" i="4"/>
  <c r="E189" i="4"/>
  <c r="B189" i="4"/>
  <c r="U188" i="4"/>
  <c r="K188" i="4"/>
  <c r="E188" i="4"/>
  <c r="B188" i="4"/>
  <c r="U187" i="4"/>
  <c r="K187" i="4"/>
  <c r="E187" i="4"/>
  <c r="B187" i="4"/>
  <c r="U186" i="4"/>
  <c r="K186" i="4"/>
  <c r="E186" i="4"/>
  <c r="B186" i="4"/>
  <c r="U185" i="4"/>
  <c r="K185" i="4"/>
  <c r="E185" i="4"/>
  <c r="B185" i="4"/>
  <c r="U184" i="4"/>
  <c r="K184" i="4"/>
  <c r="E184" i="4"/>
  <c r="B184" i="4"/>
  <c r="U183" i="4"/>
  <c r="K183" i="4"/>
  <c r="E183" i="4"/>
  <c r="B183" i="4"/>
  <c r="U182" i="4"/>
  <c r="K182" i="4"/>
  <c r="E182" i="4"/>
  <c r="B182" i="4"/>
  <c r="U181" i="4"/>
  <c r="K181" i="4"/>
  <c r="E181" i="4"/>
  <c r="B181" i="4"/>
  <c r="U180" i="4"/>
  <c r="K180" i="4"/>
  <c r="E180" i="4"/>
  <c r="B180" i="4"/>
  <c r="U179" i="4"/>
  <c r="K179" i="4"/>
  <c r="E179" i="4"/>
  <c r="B179" i="4"/>
  <c r="U178" i="4"/>
  <c r="K178" i="4"/>
  <c r="E178" i="4"/>
  <c r="B178" i="4"/>
  <c r="U177" i="4"/>
  <c r="K177" i="4"/>
  <c r="E177" i="4"/>
  <c r="B177" i="4"/>
  <c r="U176" i="4"/>
  <c r="K176" i="4"/>
  <c r="E176" i="4"/>
  <c r="B176" i="4"/>
  <c r="U175" i="4"/>
  <c r="K175" i="4"/>
  <c r="E175" i="4"/>
  <c r="B175" i="4"/>
  <c r="U174" i="4"/>
  <c r="K174" i="4"/>
  <c r="E174" i="4"/>
  <c r="B174" i="4"/>
  <c r="U173" i="4"/>
  <c r="K173" i="4"/>
  <c r="E173" i="4"/>
  <c r="B173" i="4"/>
  <c r="U172" i="4"/>
  <c r="K172" i="4"/>
  <c r="E172" i="4"/>
  <c r="B172" i="4"/>
  <c r="U171" i="4"/>
  <c r="K171" i="4"/>
  <c r="E171" i="4"/>
  <c r="B171" i="4"/>
  <c r="U170" i="4"/>
  <c r="K170" i="4"/>
  <c r="E170" i="4"/>
  <c r="B170" i="4"/>
  <c r="U169" i="4"/>
  <c r="K169" i="4"/>
  <c r="E169" i="4"/>
  <c r="B169" i="4"/>
  <c r="U168" i="4"/>
  <c r="K168" i="4"/>
  <c r="E168" i="4"/>
  <c r="B168" i="4"/>
  <c r="U167" i="4"/>
  <c r="K167" i="4"/>
  <c r="E167" i="4"/>
  <c r="B167" i="4"/>
  <c r="U166" i="4"/>
  <c r="K166" i="4"/>
  <c r="E166" i="4"/>
  <c r="B166" i="4"/>
  <c r="U165" i="4"/>
  <c r="K165" i="4"/>
  <c r="E165" i="4"/>
  <c r="B165" i="4"/>
  <c r="U164" i="4"/>
  <c r="K164" i="4"/>
  <c r="E164" i="4"/>
  <c r="B164" i="4"/>
  <c r="U163" i="4"/>
  <c r="K163" i="4"/>
  <c r="E163" i="4"/>
  <c r="B163" i="4"/>
  <c r="U162" i="4"/>
  <c r="K162" i="4"/>
  <c r="E162" i="4"/>
  <c r="B162" i="4"/>
  <c r="U161" i="4"/>
  <c r="K161" i="4"/>
  <c r="E161" i="4"/>
  <c r="B161" i="4"/>
  <c r="U160" i="4"/>
  <c r="K160" i="4"/>
  <c r="E160" i="4"/>
  <c r="B160" i="4"/>
  <c r="U159" i="4"/>
  <c r="K159" i="4"/>
  <c r="E159" i="4"/>
  <c r="B159" i="4"/>
  <c r="U158" i="4"/>
  <c r="K158" i="4"/>
  <c r="E158" i="4"/>
  <c r="B158" i="4"/>
  <c r="U157" i="4"/>
  <c r="K157" i="4"/>
  <c r="E157" i="4"/>
  <c r="B157" i="4"/>
  <c r="U156" i="4"/>
  <c r="K156" i="4"/>
  <c r="E156" i="4"/>
  <c r="B156" i="4"/>
  <c r="U155" i="4"/>
  <c r="K155" i="4"/>
  <c r="E155" i="4"/>
  <c r="B155" i="4"/>
  <c r="U154" i="4"/>
  <c r="K154" i="4"/>
  <c r="E154" i="4"/>
  <c r="B154" i="4"/>
  <c r="U153" i="4"/>
  <c r="K153" i="4"/>
  <c r="E153" i="4"/>
  <c r="B153" i="4"/>
  <c r="U152" i="4"/>
  <c r="K152" i="4"/>
  <c r="E152" i="4"/>
  <c r="B152" i="4"/>
  <c r="U151" i="4"/>
  <c r="K151" i="4"/>
  <c r="E151" i="4"/>
  <c r="B151" i="4"/>
  <c r="U150" i="4"/>
  <c r="K150" i="4"/>
  <c r="E150" i="4"/>
  <c r="B150" i="4"/>
  <c r="U149" i="4"/>
  <c r="K149" i="4"/>
  <c r="E149" i="4"/>
  <c r="B149" i="4"/>
  <c r="U148" i="4"/>
  <c r="K148" i="4"/>
  <c r="E148" i="4"/>
  <c r="B148" i="4"/>
  <c r="U147" i="4"/>
  <c r="K147" i="4"/>
  <c r="E147" i="4"/>
  <c r="B147" i="4"/>
  <c r="U146" i="4"/>
  <c r="K146" i="4"/>
  <c r="E146" i="4"/>
  <c r="B146" i="4"/>
  <c r="U145" i="4"/>
  <c r="K145" i="4"/>
  <c r="E145" i="4"/>
  <c r="B145" i="4"/>
  <c r="U144" i="4"/>
  <c r="K144" i="4"/>
  <c r="E144" i="4"/>
  <c r="B144" i="4"/>
  <c r="U143" i="4"/>
  <c r="K143" i="4"/>
  <c r="E143" i="4"/>
  <c r="B143" i="4"/>
  <c r="U142" i="4"/>
  <c r="K142" i="4"/>
  <c r="E142" i="4"/>
  <c r="B142" i="4"/>
  <c r="U141" i="4"/>
  <c r="K141" i="4"/>
  <c r="E141" i="4"/>
  <c r="B141" i="4"/>
  <c r="U140" i="4"/>
  <c r="K140" i="4"/>
  <c r="E140" i="4"/>
  <c r="B140" i="4"/>
  <c r="U139" i="4"/>
  <c r="K139" i="4"/>
  <c r="E139" i="4"/>
  <c r="B139" i="4"/>
  <c r="U138" i="4"/>
  <c r="K138" i="4"/>
  <c r="E138" i="4"/>
  <c r="B138" i="4"/>
  <c r="U137" i="4"/>
  <c r="K137" i="4"/>
  <c r="E137" i="4"/>
  <c r="B137" i="4"/>
  <c r="U136" i="4"/>
  <c r="K136" i="4"/>
  <c r="E136" i="4"/>
  <c r="B136" i="4"/>
  <c r="U135" i="4"/>
  <c r="K135" i="4"/>
  <c r="E135" i="4"/>
  <c r="B135" i="4"/>
  <c r="U134" i="4"/>
  <c r="K134" i="4"/>
  <c r="E134" i="4"/>
  <c r="B134" i="4"/>
  <c r="U133" i="4"/>
  <c r="K133" i="4"/>
  <c r="E133" i="4"/>
  <c r="B133" i="4"/>
  <c r="U132" i="4"/>
  <c r="K132" i="4"/>
  <c r="E132" i="4"/>
  <c r="B132" i="4"/>
  <c r="U131" i="4"/>
  <c r="K131" i="4"/>
  <c r="E131" i="4"/>
  <c r="B131" i="4"/>
  <c r="U130" i="4"/>
  <c r="K130" i="4"/>
  <c r="E130" i="4"/>
  <c r="B130" i="4"/>
  <c r="U129" i="4"/>
  <c r="K129" i="4"/>
  <c r="E129" i="4"/>
  <c r="B129" i="4"/>
  <c r="U128" i="4"/>
  <c r="K128" i="4"/>
  <c r="E128" i="4"/>
  <c r="B128" i="4"/>
  <c r="U127" i="4"/>
  <c r="K127" i="4"/>
  <c r="E127" i="4"/>
  <c r="B127" i="4"/>
  <c r="U126" i="4"/>
  <c r="K126" i="4"/>
  <c r="E126" i="4"/>
  <c r="B126" i="4"/>
  <c r="U125" i="4"/>
  <c r="K125" i="4"/>
  <c r="E125" i="4"/>
  <c r="B125" i="4"/>
  <c r="U124" i="4"/>
  <c r="K124" i="4"/>
  <c r="E124" i="4"/>
  <c r="B124" i="4"/>
  <c r="U123" i="4"/>
  <c r="K123" i="4"/>
  <c r="E123" i="4"/>
  <c r="B123" i="4"/>
  <c r="U122" i="4"/>
  <c r="K122" i="4"/>
  <c r="E122" i="4"/>
  <c r="B122" i="4"/>
  <c r="U121" i="4"/>
  <c r="K121" i="4"/>
  <c r="E121" i="4"/>
  <c r="B121" i="4"/>
  <c r="U120" i="4"/>
  <c r="K120" i="4"/>
  <c r="E120" i="4"/>
  <c r="B120" i="4"/>
  <c r="U119" i="4"/>
  <c r="K119" i="4"/>
  <c r="E119" i="4"/>
  <c r="B119" i="4"/>
  <c r="U118" i="4"/>
  <c r="K118" i="4"/>
  <c r="E118" i="4"/>
  <c r="B118" i="4"/>
  <c r="U117" i="4"/>
  <c r="K117" i="4"/>
  <c r="E117" i="4"/>
  <c r="B117" i="4"/>
  <c r="U116" i="4"/>
  <c r="K116" i="4"/>
  <c r="E116" i="4"/>
  <c r="B116" i="4"/>
  <c r="U115" i="4"/>
  <c r="K115" i="4"/>
  <c r="E115" i="4"/>
  <c r="B115" i="4"/>
  <c r="U114" i="4"/>
  <c r="K114" i="4"/>
  <c r="E114" i="4"/>
  <c r="B114" i="4"/>
  <c r="U113" i="4"/>
  <c r="K113" i="4"/>
  <c r="E113" i="4"/>
  <c r="B113" i="4"/>
  <c r="U112" i="4"/>
  <c r="K112" i="4"/>
  <c r="E112" i="4"/>
  <c r="B112" i="4"/>
  <c r="U111" i="4"/>
  <c r="K111" i="4"/>
  <c r="E111" i="4"/>
  <c r="B111" i="4"/>
  <c r="U110" i="4"/>
  <c r="K110" i="4"/>
  <c r="E110" i="4"/>
  <c r="B110" i="4"/>
  <c r="U109" i="4"/>
  <c r="K109" i="4"/>
  <c r="E109" i="4"/>
  <c r="B109" i="4"/>
  <c r="U108" i="4"/>
  <c r="K108" i="4"/>
  <c r="E108" i="4"/>
  <c r="B108" i="4"/>
  <c r="U107" i="4"/>
  <c r="K107" i="4"/>
  <c r="E107" i="4"/>
  <c r="B107" i="4"/>
  <c r="U106" i="4"/>
  <c r="K106" i="4"/>
  <c r="E106" i="4"/>
  <c r="B106" i="4"/>
  <c r="U105" i="4"/>
  <c r="K105" i="4"/>
  <c r="E105" i="4"/>
  <c r="B105" i="4"/>
  <c r="U104" i="4"/>
  <c r="K104" i="4"/>
  <c r="E104" i="4"/>
  <c r="B104" i="4"/>
  <c r="U103" i="4"/>
  <c r="K103" i="4"/>
  <c r="E103" i="4"/>
  <c r="B103" i="4"/>
  <c r="U102" i="4"/>
  <c r="K102" i="4"/>
  <c r="E102" i="4"/>
  <c r="B102" i="4"/>
  <c r="U101" i="4"/>
  <c r="K101" i="4"/>
  <c r="E101" i="4"/>
  <c r="B101" i="4"/>
  <c r="U100" i="4"/>
  <c r="K100" i="4"/>
  <c r="E100" i="4"/>
  <c r="B100" i="4"/>
  <c r="U99" i="4"/>
  <c r="K99" i="4"/>
  <c r="E99" i="4"/>
  <c r="B99" i="4"/>
  <c r="U98" i="4"/>
  <c r="K98" i="4"/>
  <c r="E98" i="4"/>
  <c r="B98" i="4"/>
  <c r="U97" i="4"/>
  <c r="K97" i="4"/>
  <c r="E97" i="4"/>
  <c r="B97" i="4"/>
  <c r="U96" i="4"/>
  <c r="K96" i="4"/>
  <c r="E96" i="4"/>
  <c r="B96" i="4"/>
  <c r="U95" i="4"/>
  <c r="K95" i="4"/>
  <c r="E95" i="4"/>
  <c r="B95" i="4"/>
  <c r="U94" i="4"/>
  <c r="K94" i="4"/>
  <c r="E94" i="4"/>
  <c r="B94" i="4"/>
  <c r="U93" i="4"/>
  <c r="K93" i="4"/>
  <c r="E93" i="4"/>
  <c r="B93" i="4"/>
  <c r="U92" i="4"/>
  <c r="K92" i="4"/>
  <c r="E92" i="4"/>
  <c r="B92" i="4"/>
  <c r="U91" i="4"/>
  <c r="K91" i="4"/>
  <c r="E91" i="4"/>
  <c r="B91" i="4"/>
  <c r="U90" i="4"/>
  <c r="K90" i="4"/>
  <c r="E90" i="4"/>
  <c r="B90" i="4"/>
  <c r="U89" i="4"/>
  <c r="K89" i="4"/>
  <c r="E89" i="4"/>
  <c r="B89" i="4"/>
  <c r="U88" i="4"/>
  <c r="K88" i="4"/>
  <c r="E88" i="4"/>
  <c r="B88" i="4"/>
  <c r="U87" i="4"/>
  <c r="K87" i="4"/>
  <c r="E87" i="4"/>
  <c r="B87" i="4"/>
  <c r="U86" i="4"/>
  <c r="K86" i="4"/>
  <c r="E86" i="4"/>
  <c r="B86" i="4"/>
  <c r="U85" i="4"/>
  <c r="K85" i="4"/>
  <c r="E85" i="4"/>
  <c r="B85" i="4"/>
  <c r="U84" i="4"/>
  <c r="K84" i="4"/>
  <c r="E84" i="4"/>
  <c r="B84" i="4"/>
  <c r="U83" i="4"/>
  <c r="K83" i="4"/>
  <c r="E83" i="4"/>
  <c r="B83" i="4"/>
  <c r="U82" i="4"/>
  <c r="K82" i="4"/>
  <c r="E82" i="4"/>
  <c r="B82" i="4"/>
  <c r="U81" i="4"/>
  <c r="K81" i="4"/>
  <c r="E81" i="4"/>
  <c r="B81" i="4"/>
  <c r="U80" i="4"/>
  <c r="K80" i="4"/>
  <c r="E80" i="4"/>
  <c r="B80" i="4"/>
  <c r="U79" i="4"/>
  <c r="K79" i="4"/>
  <c r="E79" i="4"/>
  <c r="B79" i="4"/>
  <c r="U78" i="4"/>
  <c r="K78" i="4"/>
  <c r="E78" i="4"/>
  <c r="B78" i="4"/>
  <c r="U77" i="4"/>
  <c r="K77" i="4"/>
  <c r="E77" i="4"/>
  <c r="B77" i="4"/>
  <c r="U76" i="4"/>
  <c r="K76" i="4"/>
  <c r="E76" i="4"/>
  <c r="B76" i="4"/>
  <c r="U75" i="4"/>
  <c r="K75" i="4"/>
  <c r="E75" i="4"/>
  <c r="B75" i="4"/>
  <c r="U74" i="4"/>
  <c r="K74" i="4"/>
  <c r="E74" i="4"/>
  <c r="B74" i="4"/>
  <c r="U73" i="4"/>
  <c r="K73" i="4"/>
  <c r="E73" i="4"/>
  <c r="B73" i="4"/>
  <c r="U72" i="4"/>
  <c r="K72" i="4"/>
  <c r="E72" i="4"/>
  <c r="B72" i="4"/>
  <c r="U71" i="4"/>
  <c r="K71" i="4"/>
  <c r="E71" i="4"/>
  <c r="B71" i="4"/>
  <c r="U70" i="4"/>
  <c r="K70" i="4"/>
  <c r="E70" i="4"/>
  <c r="B70" i="4"/>
  <c r="U69" i="4"/>
  <c r="K69" i="4"/>
  <c r="E69" i="4"/>
  <c r="B69" i="4"/>
  <c r="U68" i="4"/>
  <c r="K68" i="4"/>
  <c r="E68" i="4"/>
  <c r="B68" i="4"/>
  <c r="U67" i="4"/>
  <c r="K67" i="4"/>
  <c r="E67" i="4"/>
  <c r="B67" i="4"/>
  <c r="U66" i="4"/>
  <c r="K66" i="4"/>
  <c r="E66" i="4"/>
  <c r="B66" i="4"/>
  <c r="U65" i="4"/>
  <c r="K65" i="4"/>
  <c r="E65" i="4"/>
  <c r="B65" i="4"/>
  <c r="U64" i="4"/>
  <c r="K64" i="4"/>
  <c r="E64" i="4"/>
  <c r="B64" i="4"/>
  <c r="U63" i="4"/>
  <c r="K63" i="4"/>
  <c r="E63" i="4"/>
  <c r="B63" i="4"/>
  <c r="U62" i="4"/>
  <c r="K62" i="4"/>
  <c r="E62" i="4"/>
  <c r="B62" i="4"/>
  <c r="U61" i="4"/>
  <c r="K61" i="4"/>
  <c r="E61" i="4"/>
  <c r="B61" i="4"/>
  <c r="U60" i="4"/>
  <c r="K60" i="4"/>
  <c r="E60" i="4"/>
  <c r="B60" i="4"/>
  <c r="U59" i="4"/>
  <c r="K59" i="4"/>
  <c r="E59" i="4"/>
  <c r="B59" i="4"/>
  <c r="U58" i="4"/>
  <c r="K58" i="4"/>
  <c r="E58" i="4"/>
  <c r="B58" i="4"/>
  <c r="U57" i="4"/>
  <c r="K57" i="4"/>
  <c r="E57" i="4"/>
  <c r="B57" i="4"/>
  <c r="U56" i="4"/>
  <c r="K56" i="4"/>
  <c r="E56" i="4"/>
  <c r="B56" i="4"/>
  <c r="U55" i="4"/>
  <c r="K55" i="4"/>
  <c r="E55" i="4"/>
  <c r="B55" i="4"/>
  <c r="U54" i="4"/>
  <c r="K54" i="4"/>
  <c r="E54" i="4"/>
  <c r="B54" i="4"/>
  <c r="U53" i="4"/>
  <c r="K53" i="4"/>
  <c r="E53" i="4"/>
  <c r="B53" i="4"/>
  <c r="U52" i="4"/>
  <c r="K52" i="4"/>
  <c r="E52" i="4"/>
  <c r="B52" i="4"/>
  <c r="U51" i="4"/>
  <c r="K51" i="4"/>
  <c r="H51" i="4"/>
  <c r="E51" i="4"/>
  <c r="B51" i="4"/>
  <c r="U50" i="4"/>
  <c r="K50" i="4"/>
  <c r="E50" i="4"/>
  <c r="B50" i="4"/>
  <c r="U49" i="4"/>
  <c r="K49" i="4"/>
  <c r="E49" i="4"/>
  <c r="B49" i="4"/>
  <c r="U48" i="4"/>
  <c r="K48" i="4"/>
  <c r="E48" i="4"/>
  <c r="B48" i="4"/>
  <c r="U47" i="4"/>
  <c r="K47" i="4"/>
  <c r="E47" i="4"/>
  <c r="B47" i="4"/>
  <c r="U46" i="4"/>
  <c r="K46" i="4"/>
  <c r="E46" i="4"/>
  <c r="B46" i="4"/>
  <c r="U45" i="4"/>
  <c r="K45" i="4"/>
  <c r="E45" i="4"/>
  <c r="B45" i="4"/>
  <c r="U44" i="4"/>
  <c r="K44" i="4"/>
  <c r="E44" i="4"/>
  <c r="B44" i="4"/>
  <c r="U43" i="4"/>
  <c r="K43" i="4"/>
  <c r="E43" i="4"/>
  <c r="B43" i="4"/>
  <c r="U42" i="4"/>
  <c r="K42" i="4"/>
  <c r="E42" i="4"/>
  <c r="B42" i="4"/>
  <c r="U41" i="4"/>
  <c r="K41" i="4"/>
  <c r="E41" i="4"/>
  <c r="B41" i="4"/>
  <c r="U40" i="4"/>
  <c r="K40" i="4"/>
  <c r="E40" i="4"/>
  <c r="B40" i="4"/>
  <c r="U39" i="4"/>
  <c r="K39" i="4"/>
  <c r="E39" i="4"/>
  <c r="B39" i="4"/>
  <c r="U38" i="4"/>
  <c r="K38" i="4"/>
  <c r="E38" i="4"/>
  <c r="B38" i="4"/>
  <c r="U37" i="4"/>
  <c r="K37" i="4"/>
  <c r="E37" i="4"/>
  <c r="B37" i="4"/>
  <c r="U36" i="4"/>
  <c r="K36" i="4"/>
  <c r="E36" i="4"/>
  <c r="B36" i="4"/>
  <c r="U35" i="4"/>
  <c r="K35" i="4"/>
  <c r="E35" i="4"/>
  <c r="B35" i="4"/>
  <c r="U34" i="4"/>
  <c r="K34" i="4"/>
  <c r="E34" i="4"/>
  <c r="B34" i="4"/>
  <c r="U33" i="4"/>
  <c r="K33" i="4"/>
  <c r="E33" i="4"/>
  <c r="B33" i="4"/>
  <c r="U32" i="4"/>
  <c r="K32" i="4"/>
  <c r="E32" i="4"/>
  <c r="B32" i="4"/>
  <c r="U31" i="4"/>
  <c r="K31" i="4"/>
  <c r="E31" i="4"/>
  <c r="B31" i="4"/>
  <c r="U30" i="4"/>
  <c r="K30" i="4"/>
  <c r="E30" i="4"/>
  <c r="B30" i="4"/>
  <c r="U29" i="4"/>
  <c r="K29" i="4"/>
  <c r="E29" i="4"/>
  <c r="B29" i="4"/>
  <c r="U28" i="4"/>
  <c r="K28" i="4"/>
  <c r="E28" i="4"/>
  <c r="B28" i="4"/>
  <c r="U27" i="4"/>
  <c r="K27" i="4"/>
  <c r="E27" i="4"/>
  <c r="B27" i="4"/>
  <c r="U26" i="4"/>
  <c r="K26" i="4"/>
  <c r="E26" i="4"/>
  <c r="B26" i="4"/>
  <c r="U25" i="4"/>
  <c r="K25" i="4"/>
  <c r="E25" i="4"/>
  <c r="B25" i="4"/>
  <c r="U24" i="4"/>
  <c r="K24" i="4"/>
  <c r="E24" i="4"/>
  <c r="B24" i="4"/>
  <c r="U23" i="4"/>
  <c r="K23" i="4"/>
  <c r="E23" i="4"/>
  <c r="B23" i="4"/>
  <c r="U22" i="4"/>
  <c r="K22" i="4"/>
  <c r="E22" i="4"/>
  <c r="B22" i="4"/>
  <c r="U21" i="4"/>
  <c r="K21" i="4"/>
  <c r="E21" i="4"/>
  <c r="B21" i="4"/>
  <c r="U20" i="4"/>
  <c r="K20" i="4"/>
  <c r="E20" i="4"/>
  <c r="B20" i="4"/>
  <c r="U19" i="4"/>
  <c r="K19" i="4"/>
  <c r="E19" i="4"/>
  <c r="B19" i="4"/>
  <c r="U18" i="4"/>
  <c r="K18" i="4"/>
  <c r="E18" i="4"/>
  <c r="B18" i="4"/>
  <c r="U17" i="4"/>
  <c r="K17" i="4"/>
  <c r="E17" i="4"/>
  <c r="B17" i="4"/>
  <c r="U16" i="4"/>
  <c r="K16" i="4"/>
  <c r="E16" i="4"/>
  <c r="B16" i="4"/>
  <c r="U15" i="4"/>
  <c r="K15" i="4"/>
  <c r="E15" i="4"/>
  <c r="B15" i="4"/>
  <c r="U14" i="4"/>
  <c r="K14" i="4"/>
  <c r="E14" i="4"/>
  <c r="B14" i="4"/>
  <c r="U13" i="4"/>
  <c r="K13" i="4"/>
  <c r="E13" i="4"/>
  <c r="B13" i="4"/>
  <c r="U12" i="4"/>
  <c r="K12" i="4"/>
  <c r="E12" i="4"/>
  <c r="B12" i="4"/>
  <c r="U11" i="4"/>
  <c r="K11" i="4"/>
  <c r="E11" i="4"/>
  <c r="B11" i="4"/>
  <c r="U10" i="4"/>
  <c r="K10" i="4"/>
  <c r="E10" i="4"/>
  <c r="B10" i="4"/>
  <c r="U9" i="4"/>
  <c r="K9" i="4"/>
  <c r="E9" i="4"/>
  <c r="B9" i="4"/>
  <c r="U8" i="4"/>
  <c r="K8" i="4"/>
  <c r="E8" i="4"/>
  <c r="B8" i="4"/>
  <c r="U7" i="4"/>
  <c r="K7" i="4"/>
  <c r="E7" i="4"/>
  <c r="B7" i="4"/>
  <c r="U6" i="4"/>
  <c r="K6" i="4"/>
  <c r="E6" i="4"/>
  <c r="B6" i="4"/>
  <c r="U5" i="4"/>
  <c r="K5" i="4"/>
  <c r="E5" i="4"/>
  <c r="B5" i="4"/>
  <c r="U4" i="4"/>
  <c r="K4" i="4"/>
  <c r="E4" i="4"/>
  <c r="B4" i="4"/>
  <c r="U3" i="4"/>
  <c r="K3" i="4"/>
  <c r="E3" i="4"/>
  <c r="B3" i="4"/>
</calcChain>
</file>

<file path=xl/sharedStrings.xml><?xml version="1.0" encoding="utf-8"?>
<sst xmlns="http://schemas.openxmlformats.org/spreadsheetml/2006/main" count="8671" uniqueCount="5679">
  <si>
    <t>Date</t>
  </si>
  <si>
    <t>User Details</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</si>
  <si>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</si>
  <si>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</si>
  <si>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</si>
  <si>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</si>
  <si>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</si>
  <si>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</si>
  <si>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</si>
  <si>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</si>
  <si>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</si>
  <si>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</si>
  <si>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</si>
  <si>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</si>
  <si>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</si>
  <si>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</si>
  <si>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</si>
  <si>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</si>
  <si>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</si>
  <si>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</si>
  <si>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</si>
  <si>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Taky - Nylaya</t>
  </si>
  <si>
    <t>Twitter Query: "Santi Abascal" lang:es -filter:retweets -filter:replies</t>
  </si>
  <si>
    <t>Ulises Gamez Guilarte</t>
  </si>
  <si>
    <t>Si usted desea verdad desea un cambio importante en Andalucia vote VOX. Votar a conciencia. Porque VOX es la solución para tener una España viva y unida sin corrupción. No permita que los corruptos se perpetúen en el poder. @FJL_EsRadio @Ortega_Smith @Santi_ABASCAL @monasterioR</t>
  </si>
  <si>
    <t xml:space="preserve">Calobre Panamá. </t>
  </si>
  <si>
    <t>La España Viva</t>
  </si>
  <si>
    <t>Abogado y compositor Cubano. Vivo en Calobre Panamá. esta foto la de mi perfil fue en Venecia.</t>
  </si>
  <si>
    <t>Danidovich de Cadizgrado☭🎗</t>
  </si>
  <si>
    <t>Han matado al perro de Santi Abascal porque matar al de Abu Bakr al Bagdhadi, líder del Daesh, no tenían huevos.🤣🤣🤣 Y así. RT @GPinar_Pena: @danierdecai31 Oye danié. Opino como tú</t>
  </si>
  <si>
    <t>https://twitter.com/GPinar_Pena/status/1065970912237883392</t>
  </si>
  <si>
    <t>https://pbs.twimg.com/media/DssW4zMW0AEX36k.jpg</t>
  </si>
  <si>
    <t>Francia</t>
  </si>
  <si>
    <t>El mundo es como aparece ante mis cinco sentidos, y ante los tuyos que son las orillas de los míos. #MiguelHernández 🌹 Hago hilos de Historia. Antifascista✊</t>
  </si>
  <si>
    <t>Sevilla</t>
  </si>
  <si>
    <t>ANGEL BORDAS</t>
  </si>
  <si>
    <t>Queremos ver sus caras y deseando que las feministas hagan sus manifestaciones pidiendo sus expulsiones  @Santi_ABASCAL @vox_es</t>
  </si>
  <si>
    <t>https://www.abc.es/sociedad/abci-hombres-violan-joven-y-dejan-abandonada-lavabos-sala-fiestas-granada-201811231148_noticia.html#ns_campaign=rrss&amp;ns_mchannel=abc-es&amp;ns_source=fb&amp;ns_linkname=cm-general&amp;ns_fee=0</t>
  </si>
  <si>
    <t>Sevilla ( Ciudad del Betis )</t>
  </si>
  <si>
    <t>Abogado y activista sevillano</t>
  </si>
  <si>
    <t>https://youtu.be/pzKrJDeBuH8</t>
  </si>
  <si>
    <t>Cabreo Político</t>
  </si>
  <si>
    <t>Hola! @sanchezcastejon @Pablo_Iglesias_ @Albert_Rivera @Santi_ABASCAL @pablocasado_</t>
  </si>
  <si>
    <t>https://pbs.twimg.com/media/Dssc8YVXcAAY6oS.png</t>
  </si>
  <si>
    <t>Madrid, Comunidad de Madrid</t>
  </si>
  <si>
    <t>Análisis Cabreo político en Twitter</t>
  </si>
  <si>
    <t>KKO DIARIO</t>
  </si>
  <si>
    <t>Adrián Fernández</t>
  </si>
  <si>
    <t>No sé cómo llamarlos... Bueno, sí. Sois gilipollas @Santi_ABASCAL, pero gilipollas hasta aburrir. RT @VCartama: Que no le quepa duda a nadie 📣 "Vamos a combatir a todos aquellos que quieren convertir en una mezquita la Catedral de Córdoba" @VoxCordoba @Santi_ABASCAL #AndalucíaPorEspaña #VotaVOX #2D</t>
  </si>
  <si>
    <t>Mostrando el KKO que montan y tienen en la cabeza la derecha y Pantuflo. ❤💛💜</t>
  </si>
  <si>
    <t>https://twitter.com/VCartama/status/1064985171466825728</t>
  </si>
  <si>
    <t>https://pbs.twimg.com/media/DseWXTcXQAUhISe.jpg</t>
  </si>
  <si>
    <t>Cádiz - Córdoba - Granada</t>
  </si>
  <si>
    <t>Republicano, enamorado de Andalucía y del Córdoba CF 💚</t>
  </si>
  <si>
    <t>http://instagram.com/nairdadrian7</t>
  </si>
  <si>
    <t>Jose Ricardo</t>
  </si>
  <si>
    <t>Hipermercado, dónde compro tres tomates por 1,16€. ¿Saben cuanto le pagan a un agricultor por una caja de tomates?Yo se lo digo,0,40 centimos de Euro+-! Si, por una caja! #agricultura #today #fraude @Santi_ABASCAL @sanchezcastejon @pablocasado_ @Albert_Rivera @Pablo_Iglesias_</t>
  </si>
  <si>
    <t>https://pbs.twimg.com/media/DsscXgWXgAAF04M.jpg</t>
  </si>
  <si>
    <t>Lorca.Murcia.España. Madridista, me simpatiza el Betis (Pastrana me lo enseñó)</t>
  </si>
  <si>
    <t>Toni Clares</t>
  </si>
  <si>
    <t>¿Por qué los #GuardiasCiviles van a ser los únicos funcionarios de la Administración con descuentos del 20% del sueldo al tercer mes de baja ? Algo q decir señores @sanchezcastejon @psoe @interiorgob @Defensagob @Pablo_Iglesias_ @pablocasado_ @Albert_Rivera @Santi_ABASCAL</t>
  </si>
  <si>
    <t>Almería, España</t>
  </si>
  <si>
    <t>Ciberseguridad|Pentester|LINUX| OSCP|Ethical hacking|Lead Auditor Certified|Deepweb|Blockchain|Bitcoin|Phyton|Ajedrez Chess AEAC ICC|POLICIA|POLICE</t>
  </si>
  <si>
    <t>Alfil Valiente</t>
  </si>
  <si>
    <t>Y, como ellos dicen, de extrema necesidad @Santi_ABASCAL @ldpsincomplejos @hermanntertsch</t>
  </si>
  <si>
    <t>https://gaceta.es/opinion/vox-voto-util-espana-javier-tejedor-20181122-0937/</t>
  </si>
  <si>
    <t>España</t>
  </si>
  <si>
    <t>Todo lo que manda el Rey, que va contra lo que Dios manda, no tiene valor de Ley, ni es Rey quien así se desmanda. Lope de Vega</t>
  </si>
  <si>
    <t>https://twitter.com/vox_es/status/1065598701849194496</t>
  </si>
  <si>
    <t>pic.twitter.com/rvBcXmAtCx</t>
  </si>
  <si>
    <t>DE CUETO - SANTANDER</t>
  </si>
  <si>
    <t>Ahi falta @Santi_ABASCAL aunque no sea una tia, NUNCA ha trabajado ... se lo recordaremos en las #Elecciones2019 a todos sus votantes ... verdad @vox_es ? ... os podeis dar la mano con el okupa @sanchezcastejon y su @PSOE</t>
  </si>
  <si>
    <t>https://www.mediterraneodigital.com/espana/nacional/las-6-politicas-espanolas-que-nunca-han-trabajado.html?fbclid=IwAR04V_a-PhOxe64Fn8F0cOuZZ1EeeTDqy3DTuS5-m8I6hYp16zOHoGQwlsM</t>
  </si>
  <si>
    <t>Planeta Tierra</t>
  </si>
  <si>
    <t>Santander, Cantabria - España</t>
  </si>
  <si>
    <t>- LA VOZ DE ESPAÑA - Lealtad, Justicia, Amor, Contundencia y Firmeza. ¡ #ConservadorLiberal ! - SILENCIO/BLOQUEO a #PODEMATAS y TRAIDORES ASQUEROSOS por SISTEMA</t>
  </si>
  <si>
    <t>https://www.facebook.com/josealberto.rodriguezarroyo.9</t>
  </si>
  <si>
    <t>Canarias, España</t>
  </si>
  <si>
    <t>Manuel Hernandez🇪🇸</t>
  </si>
  <si>
    <t>Con 2 HUEVOS @vox_es @Santi_ABASCAL</t>
  </si>
  <si>
    <t>https://pbs.twimg.com/media/DssQTLhXgAU885H.jpg</t>
  </si>
  <si>
    <t>Varo SDC</t>
  </si>
  <si>
    <t>Martos</t>
  </si>
  <si>
    <t>Aficionado al Martos CD y al Real Madrid. Madridista desde que estaba en los huevos de mi padre, es la mejor herencia que me ha dado. #losdedetrasdelbanquillo</t>
  </si>
  <si>
    <t>Santiago de Compostela</t>
  </si>
  <si>
    <t>Tuitero nivel medio.</t>
  </si>
  <si>
    <t>Luis Beltri Baudet</t>
  </si>
  <si>
    <t>. @pablocasado_, @Albert_Rivera, @Santi_ABASCAL, recuerden que el que al cielo escupe en la cara le cae. Siempre.</t>
  </si>
  <si>
    <t>Santa Cruz de Tenerife, España</t>
  </si>
  <si>
    <t>Padre de Inés, Sara y Pablo. Feminista, ecologista, socialista y deportista. Vicesecretario @PSOESantaCruzTF. Junta directiva @RFEVB. Del @CVHaris</t>
  </si>
  <si>
    <t>https://twitter.com/santi_abascal/status/1065577842447212544
https://elpais.com/elpais/2018/11/21/opinion/1542806031_921444.html</t>
  </si>
  <si>
    <t>Bittar Barbara</t>
  </si>
  <si>
    <t>#NoNegocioConDictaduras @PPopular @PPE_ES @ALDEgroup @gimenezbarbat @gimenezbarbat @EvaDuranRamos @monasterioR @pablocasado_ @Santi_ABASCAL EL DOBLE STANDARD DE @sanchezcastejon y su @PSOE Es vergonzozo #Espana #Cuba @abc_es @elpais_espana @okdiario @larazon_es @DiarioLaMarina RT @_A_Zero: Sánchez y Díaz-Canel crean un marco de relación institucional permanente entre España y Cuba. La hipocresía de la izquierda no conoce la vergüenza al callar sobre los presos políticos Cubanos. Qué gentuza!  vía @ABCespana</t>
  </si>
  <si>
    <t>https://youtu.be/SbOfqDlIUpU</t>
  </si>
  <si>
    <t>https://twitter.com/_a_zero/status/1065875800669503489
https://www.abc.es/espana/abci-sanchez-y-diaz-canel-crean-marco-relacion-institucional-permanente-entre-espana-y-cuba-201811230320_noticia.html#ns_campaign=amp-rrss-inducido&amp;ns_mchannel=abc-es&amp;ns_source=tw&amp;ns_linkname=noticia.foto&amp;ns_fee=0</t>
  </si>
  <si>
    <t>Cartagena</t>
  </si>
  <si>
    <t>Paradise, CA</t>
  </si>
  <si>
    <t>Human rights activist Christian anti communist and I love animals</t>
  </si>
  <si>
    <t>🇪🇸José Manuel</t>
  </si>
  <si>
    <t>Por qué votar @vox_es y apoyar sin reservas a @Santi_ABASCAL es ya una emergencia nacional para resolver un problema de soberanía. Hoy es un colegio mañana será nuestra España. RT @rouco64: 🔴Alumnos musulmanes impiden el bocadillo de jamón, fuet o chorizo en un instituto de Tarrasa, que les ofende🔻🔻🔻</t>
  </si>
  <si>
    <t>https://twitter.com/rouco64/status/1065923791249960960</t>
  </si>
  <si>
    <t>pic.twitter.com/lXFEKxTnVf</t>
  </si>
  <si>
    <t>De derechas. La izquierda ni para acortar el camino. Voto Vox</t>
  </si>
  <si>
    <t>#ESPANA DESDE #CubaPlural @CuPlural GRACIAS POR APOYAR Y COMPARTIR #NoNegocioConDictaduras @sanchezcastejon SE REÚNE CON DICTADOR @DiazCanelB Y NO CON LA PERSEGUIDA OPOSICIÓN CUBANA @PPopular @EvaDuranRamos @monasterioR @pablocasado_ @CiudadanosCs @Santi_ABASCAL @gimenezbarbat RT @bitMomentum: Trending ahora en Derecha/Centro Dcha.: ➀ #cuba ↓ ➁ #nonegociocondictaduras ↑ ➂ #espana ↑ ➃ #sanchezlargate ↑ ➄ #gobierno ↑ ➅ #cubaplural ↑ ➆ #americaunida ↑ ➇ #2d ↑ ➈ #valencia ↑↑ ➉ #ultimahora ↓</t>
  </si>
  <si>
    <t>Madrid</t>
  </si>
  <si>
    <t>https://twitter.com/bitmomentum/status/1065787014191157248</t>
  </si>
  <si>
    <t>🌴🌴TU Y YO🌴🌴🌴🍁🍁🍁</t>
  </si>
  <si>
    <t>SEÑORES @Santi_ABASCAL Y @vox_es EL PRESENTADOR FERRERAS DE @laSextaTV LLAMA A VOX ANTISISTEMA...ESTE CAZURRO GORILA ESTÁ SOBORNADO POR PODEMOS Y VENEZUELA Y CADA DÍA SE LE VE MAS EL PLUMERO...CUANDO LLEGUE VOX AL GOBIERNO LO PRIMERO QUE HARÁ SERÁ CARGARSE A ESTE IMPRESENTABLE!</t>
  </si>
  <si>
    <t>correo electrónico: lunadebenidorm@gmail.com</t>
  </si>
  <si>
    <t>Tanto_monta🇪🇸💯🦇</t>
  </si>
  <si>
    <t>Aznar acaba de decir que Vox es del centro derecho cuidado @Santi_ABASCAL que el expresidente llama a tus filas. Será bien recibido?</t>
  </si>
  <si>
    <t>Valencia, España</t>
  </si>
  <si>
    <t>Futuro historiador que analiza la historia de su país de la manera más objetiva posible. Soy español, católico y decepcionado con la politica en mi país.</t>
  </si>
  <si>
    <t>Andalucía</t>
  </si>
  <si>
    <t>Jose Luis del Rio</t>
  </si>
  <si>
    <t>📹 @Santi_ABASCAL deja claro que España debe recuperar la soberanía completa sobre Gibraltar y hacer una apuesta por la industrialización de la zona. #GibraltarEspañol ✅ Vota a @vox_es, vota #AndalucíaPorEspaña 🇪🇸</t>
  </si>
  <si>
    <t>pic.twitter.com/MPvTPmQVOf</t>
  </si>
  <si>
    <t>L. Curiel</t>
  </si>
  <si>
    <t>GeoGis</t>
  </si>
  <si>
    <t>Suma y sigue. @drbeltranena @Santi_ABASCAL @Ccastell2015 @MCITLFrAphorism @fr_pwest @nicholasvirzi @BruvverEccles @prageru @gabrielmises @AntArgandona @DrScottHahn @ProfessorKreeft RT @LifeSite: Trump appoints pro-life neurobiologist to National Science Board, pro-abortion activists panic</t>
  </si>
  <si>
    <t>España languidece y se rompe por culpa de una Casta Política corrupta. Es hora de cambiarla por gente decente: Con VOX</t>
  </si>
  <si>
    <t>https://twitter.com/LifeSite/status/1065351395442925568
http://bit.ly/2BoJS5h</t>
  </si>
  <si>
    <t>GEOlogía | GEOgrafía por vocación &amp; GIS (Sistemas de Información Geográfica) por convicción.</t>
  </si>
  <si>
    <t>Tabarnia, España</t>
  </si>
  <si>
    <t>Martin Ruiz</t>
  </si>
  <si>
    <t>Con @Santi_ABASCAL @Ortega_Smith y todas las personas valerosas de @vox_es no nos rendimos y proponemos #AndalucíaPorEspaña #VotaVOX RT @Santi_ABASCAL: Lo que crece en Andalucía es la esperanza, como se demuestra en el hecho de que VOX haya protagonizado los mitines más multitudinarios de la campaña andaluza #AndalucíaPorEspaña</t>
  </si>
  <si>
    <t>https://pbs.twimg.com/media/DseC1u5XcAAGT_3.jpg</t>
  </si>
  <si>
    <t>https://twitter.com/Santi_ABASCAL/status/1065896138623062016
https://www.abc.es/espana/abci-crece-alarma-pp-y-ciudadanos-subida-andalucia-201811230403_noticia_amp.html</t>
  </si>
  <si>
    <t>Jaen, ESPAÑA</t>
  </si>
  <si>
    <t>Profesor</t>
  </si>
  <si>
    <t>Carlos F Ramos</t>
  </si>
  <si>
    <t>Yo llamaría a @Santi_ABASCAL , que seguro que de buena gana les echa una mano. 😂😂😂👍👍👍👍 RT @liberal_mirada: Asociación podemita convoca una manifestación. Va una persona, y esta afirma que no puede desplegar la pancarta ante la imposibilidad de hacerla solo. 😂😂😂😂😂😢😢😢😂😂😂😂😂😂😂😂😂😂😢😢😂😂😂😂😂😂😂😂😂😢😢😂😂😂😂😂😂😂 Muero de risa 😂😂😂😂😂😂😂😂😂😂😂😂😢😢😂😂😂😂</t>
  </si>
  <si>
    <t>https://twitter.com/liberal_mirada/status/1065698331777802240</t>
  </si>
  <si>
    <t>https://pbs.twimg.com/media/Dsoe-UFXgAUDegR.jpg</t>
  </si>
  <si>
    <t>https://twitter.com/Santi_ABASCAL/status/1065577842447212544
https://elpais.com/elpais/2018/11/21/opinion/1542806031_921444.html</t>
  </si>
  <si>
    <t>Ferroliño</t>
  </si>
  <si>
    <t>Médico. Español. Heterosexual. Padre. políticamente incorrecto según para quién. Verdades como puños que algunos no quieren oír.</t>
  </si>
  <si>
    <t>VOX Almería</t>
  </si>
  <si>
    <t>🔴 Jueves 29 de noviembre en Roquetas de Mar a las 20:00 charla - presentación de @Santi_ABASCAL @FSerranoCastro @RguezBelinda y el presidente de VOX Almería, Juan Francisco Rojas. 📍Palacio de Exposiciones y Congresos de Aguadulce. ¡No puedes faltar!</t>
  </si>
  <si>
    <t>https://pbs.twimg.com/media/DsryCfbXoAA0dgT.jpg</t>
  </si>
  <si>
    <t>C/ José Artés de Arcos, 34 "Y"</t>
  </si>
  <si>
    <t>La alternativa de los VALORES y de la CLARIDAD. info@almeria.voxespana.es //Cuenta oficial de VOX en Almería//</t>
  </si>
  <si>
    <t>http://www.xn--voxespaa-j3a.es</t>
  </si>
  <si>
    <t>Marta Balbontin C</t>
  </si>
  <si>
    <t>Cuando la violencia y abucheos son para Susana Díaz nos echamos las manos a la cabeza .Cuando es hacia Vox y hacia @Santi_ABASCAL no problem</t>
  </si>
  <si>
    <t>SEVILLA</t>
  </si>
  <si>
    <t>Española de sevillanas maneras🇪🇸🇪🇸🇪🇸🇪🇸🇪🇸🇪🇸🇪🇸🇪🇸🇪🇸🇪🇸🇪🇸🇪🇸🇪🇸🇪🇸</t>
  </si>
  <si>
    <t>QLPZ</t>
  </si>
  <si>
    <t>Espero que os guste @vox_es @Santi_ABASCAL #VoxAvanza #VOX #EspanaViva @voxnoticias_es</t>
  </si>
  <si>
    <t>https://pbs.twimg.com/media/DsrtpcYX4AApqfe.jpg</t>
  </si>
  <si>
    <t>Ángel Jiménez ۞</t>
  </si>
  <si>
    <t>VOX paga mi sueldo!!! Gracias @Santi_ABASCAL RT @Davidsa82114513: @anjirom Más pena te dará cuando España entre en suspensión de pagos</t>
  </si>
  <si>
    <t>https://twitter.com/Davidsa82114513/status/1065908810768887808</t>
  </si>
  <si>
    <t>Valladolid, España</t>
  </si>
  <si>
    <t>Al-Ándalus</t>
  </si>
  <si>
    <t>God hates us all // Bebo y se cosas</t>
  </si>
  <si>
    <t>Antonio Nestares</t>
  </si>
  <si>
    <t>Votar a un partido por el “voto útil” es afirmar que el bien si justifica los medios. Si vas a votar a alguien que sea por qué crees en el. Yo voto @vox_es y confío en @Santi_ABASCAL #VotaVOX #EleccionesAndalucia #Andalucia #EspanaViva</t>
  </si>
  <si>
    <t>Comunidad de Madrid, España</t>
  </si>
  <si>
    <t>Smile, god loves you!!!</t>
  </si>
  <si>
    <t>Bernal Díaz del Castillo</t>
  </si>
  <si>
    <t>A ver si alguien me lo aclara porque estoy confundido, como Dinio: @Santi_ABASCAL @ldpsincomplejos @HernnCortes @pernilayco @PCano2 @RHispanico ¿Hay varias clases de golpistas y rebeldes y yo no me he enterado? ¿Hay varias clases de dictadores? ¿Cómo va esto? RT @BernalDCastillo: Lo único que me resulta raro de todo esto es ver al @PSOE y @sanchezcastejon homenajeando a José Martí y Hassan II... un golpista y un dictador. No me explico por qué no dejan descansar entonces a Franco. ¿A ver si es que no era ni golpista ni dictador y por eso... ?</t>
  </si>
  <si>
    <t>https://twitter.com/BernalDCastillo/status/1065912984692817920</t>
  </si>
  <si>
    <t>Volver con la pluma en la mano como el buen piloto lleva la sonda por el mar, descubriendo los bajos cuando siente que los hay. Mi único amor es la verdad.</t>
  </si>
  <si>
    <t>https://youtu.be/ROMeqNS5XKM</t>
  </si>
  <si>
    <t>Iker</t>
  </si>
  <si>
    <t>Me imagino a Santi Abascal después de ver lo de Gibraltar, “ensilla mi caballo Sebastián, se van a cagar”...</t>
  </si>
  <si>
    <t>¿Piensas que la vida te está puteando? Te cuento la mia y no te vuelves a preocupar en tu puta vida!!!!</t>
  </si>
  <si>
    <t>Jose Luis Sanchez</t>
  </si>
  <si>
    <t>.@PPopular Crece la alarma en PP y @CiudadanosCs por la subida de @vox_es en Andalucía" VAMOSSSS A SER LA LLAVE, VOX! ¡Animo Paco @FSerranoCastro ! @Santi_ABASCAL @Ortega_Smith  vía @ABCespana</t>
  </si>
  <si>
    <t>https://www.abc.es/espana/abci-crece-alarma-pp-y-ciudadanos-subida-andalucia-201811230403_noticia.html#ns_campaign=rrss-inducido&amp;ns_mchannel=abc-es&amp;ns_source=tw&amp;ns_linkname=noticia-video&amp;ns_fee=0</t>
  </si>
  <si>
    <t>No preguntes qué puede hacer tu País por tí. Pregúntante qué puedes hacer TÚ por tu PAIS. En Vox desde el Día 0</t>
  </si>
  <si>
    <t>Sr. Limong</t>
  </si>
  <si>
    <t>El que más me gusta de Handmaid's Tale es Santi Abascal.</t>
  </si>
  <si>
    <t>[algo gracioso]</t>
  </si>
  <si>
    <t>Don Iker</t>
  </si>
  <si>
    <t>Estos se os escinden @Santi_ABASCAL @vox_es RT @vox_guipuzcoa: Egun bakarra gelditzen da #Euskaraldi -rako! VOX-etik Espainiako kultura edo hizkuntzak defendatzen dituen edozein mugimenduri baietza emango diogu. Euskaraz hitz egin edo entzun nahi dutenak bat egin dezala #Euskaraldian. Inposaketarik gabeko euskara batengatik!</t>
  </si>
  <si>
    <t>https://twitter.com/vox_guipuzcoa/status/1065714296510996480</t>
  </si>
  <si>
    <t>https://pbs.twimg.com/media/DsotOXiUcAAtWEf.jpg</t>
  </si>
  <si>
    <t>Acuéstate y suda</t>
  </si>
  <si>
    <t>Orokortzen duten guztiak lerdoak dira.</t>
  </si>
  <si>
    <t>EN LUGAR DE ESTAR CONTENTOS @pablocasado_ Y @Albert_Rivera DEL AUGE SIN PARANGÓN DEL PARTIDO DE ULTRADERECHA DE @Santi_ABASCAL @vox_es ESTÁN CABREADS Y NO HACEN MÁS QUE CRITICARLE..ES QUE AHORA SON DE IZQUIERDAS??? TODA ESPAÑA A VOTAR @vox_es URGENTEMENTE</t>
  </si>
  <si>
    <t>Santiago Abascal</t>
  </si>
  <si>
    <t>Lo que crece en Andalucía es la esperanza, como se demuestra en el hecho de que VOX haya protagonizado los mitines más multitudinarios de la campaña andaluza #AndalucíaPorEspaña</t>
  </si>
  <si>
    <t>https://www.abc.es/espana/abci-crece-alarma-pp-y-ciudadanos-subida-andalucia-201811230403_noticia_amp.html</t>
  </si>
  <si>
    <t>Badajoz</t>
  </si>
  <si>
    <t>✅</t>
  </si>
  <si>
    <t>http://www.voxespana.es</t>
  </si>
  <si>
    <t>ESPAÑA</t>
  </si>
  <si>
    <t>Presidente de VOX 🇪🇸 #EspañaLoPrimero</t>
  </si>
  <si>
    <t>https://youtu.be/RaSIX4-RPAI</t>
  </si>
  <si>
    <t>Miquel Casals Planas</t>
  </si>
  <si>
    <t>#YOVOTARÉAVOX entre otras cosas porque estoy hasta las narices del #FrentePopular, de los golpistas,de que en el #PP no han hecho la limpieza debida(¿a qué esperan en echar a #Cosidó?)de #Cs que para ocupar un lugar ataca a sus supuestos compañeros de viaje.@Santi_ABASCAL FUERZA</t>
  </si>
  <si>
    <t>Maresme</t>
  </si>
  <si>
    <t>Primera novela de una trilogía. "¿QUIÉNES SOMOS?" . Disponible en https://www.amazon.es/%C2%BFQui%C3%A9nes-somos-Miquel-Casals-Planas/dp/8491947876</t>
  </si>
  <si>
    <t>JavierPeKeñoPonfe</t>
  </si>
  <si>
    <t>Cuando terminen las elecciones en Andalucía, tendrá pensado alguna visita a León para la campaña de las Municipales y Autonómicas? Gracias. @Santi_ABASCAL @Vox_Leon @vox_ponferrada RT @Santi_ABASCAL: Próximos actos de VOX en los que participaré: 📍Lunes 26 en GRANADA. 📍Martes 27 en HUELVA 📍Miércoles 28 en JAÉN 📍Jueves 29 en ROQUETAS -Almería 📍Viernes 30 en Melilla y Sevilla.</t>
  </si>
  <si>
    <t>https://twitter.com/Santi_ABASCAL/status/1065538327070339072
https://twitter.com/elmundoes/status/1065289653098635267</t>
  </si>
  <si>
    <t>Palma, España</t>
  </si>
  <si>
    <t>https://twitter.com/Santi_ABASCAL/status/1065742887315546118</t>
  </si>
  <si>
    <t>https://pbs.twimg.com/media/DspHbgwXQAEQSa5.jpg</t>
  </si>
  <si>
    <t>Ponferrada, España</t>
  </si>
  <si>
    <t>De Derecho, del Bierzo y ultra del Madrid. He vuelto porque me lo han pedido directamente desde el Ministerio de Justicia. España primero y luego, ya veremos.</t>
  </si>
  <si>
    <t>Denna ^..^🎀⚔️💙🇪🇸</t>
  </si>
  <si>
    <t>Los que aman la naturaleza y los animales. @Santi_ABASCAL, ¿lo vas a seguir apoyando? RT @TheoOberhuber: El @psoeandalucia se posiciona a favor de la caza, nada extraño viendo lo permisivo que siempre ha sido con este sector. Los Andaluces ya saben que apoyan votando al PSOE: matar animales por diversión. #LaVerdadDeLaCaza #LaCazaContraElMundoRural</t>
  </si>
  <si>
    <t>https://twitter.com/theooberhuber/status/1063104338191679488
https://www.cope.es/emisoras/andalucia/jaen-provincia/jaen/jaen-deportes/noticias/psoe-firme-defensor-caza-20181115_293454</t>
  </si>
  <si>
    <t>https://pbs.twimg.com/media/DsDAbt8WsAEgXNa.jpg</t>
  </si>
  <si>
    <t>Capital del Reino de España</t>
  </si>
  <si>
    <t>🐸Decencia/Animales/Deporte **Abstenerse menores de 130 CI; no me gusta el emoticono del beso con corazón**</t>
  </si>
  <si>
    <t>En el #BlackFriday se ofrecen dos fachas como @Albert_Rivera y @Santi_ABASCAL por el mismo precio que @pablocasado_. Aunque son distintos, son iguales.</t>
  </si>
  <si>
    <t>✝️StGabriel✝️ 🇪🇸🇪🇺🇺🇸</t>
  </si>
  <si>
    <t>Cuando por parte de la izquierda y su extremo llamen fascistas y extrema derecha a @vox_es @Santi_ABASCAL no vendría mal hacer ver lo qué piensan los reales fascistas de la nueva Falange.</t>
  </si>
  <si>
    <t>https://pbs.twimg.com/media/DsrOQViWwAAVE8N.jpg</t>
  </si>
  <si>
    <t>II⭐️⭐️II 💣</t>
  </si>
  <si>
    <t>Taboo 🇪🇸</t>
  </si>
  <si>
    <t>Francisco Cohortado</t>
  </si>
  <si>
    <t>Es hora de que Santi Abascal y sus votantes reconquisten Gibraltar y lo liberen de la tiranía del comunismo internacional.</t>
  </si>
  <si>
    <t>Rojo, laicista, republicano, feminista y antifascista de mente abierta. Defensor de la igualdad, de la justicia social, de la cultura y de lo público.</t>
  </si>
  <si>
    <t>Español, blanco y trabajador,me gusta el jamoncito ibérico y el Ribera del Duero hoy en día en nuestra querida España lo que viene a ser Taboo☘️.</t>
  </si>
  <si>
    <t>Paula P</t>
  </si>
  <si>
    <t>Una cosa que me divierte es que Santi Abascal está divorciado y vuelto a casar. Es hipocresía pura. Cuando lo veo reunido con sacerdotes y pienso que en teoría debería estar excomulgado me descojono.</t>
  </si>
  <si>
    <t>LEON PATATA</t>
  </si>
  <si>
    <t>Me gusta leer, ir al teatro, salvar ballenas, acariciar gatitos, hacer deporJAJAJA. No. Era por rellenar espacio. Soy rubia. Ya está.</t>
  </si>
  <si>
    <t>pablo mess</t>
  </si>
  <si>
    <t>Un presidente de gobierno que NO gobierna nada, sólo se dedica a darse la GRAN VIDA y VIAJAR POR TODO EL MUNDO como si fuera presidente de EEUU, y ¿CUÁNTO DINERO NOS CUESTA? Nadie dice nada? #ViernesNegro @pablocasado_ @TeoGarciaEgea @Albert_Rivera @Santi_ABASCAL @rosadiezglez</t>
  </si>
  <si>
    <t>madrid</t>
  </si>
  <si>
    <t>Abogado ~ I like to have strong opinions with nothing to back them up with besides my primal sincerity. I like sincerity. I lack sincerity.</t>
  </si>
  <si>
    <t>Fra Jeremies</t>
  </si>
  <si>
    <t>Aún no, @Santi_ABASCAL? A qué esperas? Se le ha pinchado la rueda a tu caballo? RT @FraJeremies: Esperant a que @Santi_ABASCAL entri a cavall a Gibraltar per iniciar la reconquesta... Va, machote...</t>
  </si>
  <si>
    <t>https://twitter.com/FraJeremies/status/1065764135617667073</t>
  </si>
  <si>
    <t>pic.twitter.com/xUHO0yzSVF</t>
  </si>
  <si>
    <t>Sant Urró del Pinetell, CAT</t>
  </si>
  <si>
    <t>Monjo a temps parcial. Liberal d'esquerres per la Gràcia de Déu. Únic membre d'AFORET. Sovint tinc mals dies. Trolls i mermats not allowed. #DiacríticFriendly.</t>
  </si>
  <si>
    <t>http://istoricon.blogspot.com</t>
  </si>
  <si>
    <t>VOX Noticias 🇪🇸</t>
  </si>
  <si>
    <t>Próximos actos públicos de VOX con @Santi_ABASCAL, @Ortega_Smith y @FSerranoCastro ⤵ 🚩 MARBELLA, sábado 24 🚩 LA LÍNEA, domingo 25 🚩 GRANADA, lunes 26 🚩 HUELVA, martes 27 🔃 Difunde entre tus familiares y amigos ¡Te esperamos! 🇪🇸 #VotaVOX #AndalucíaporEspaña</t>
  </si>
  <si>
    <t>https://casoaislado.com/santiago-abascal-los-primates-erc-no-deberian-estar-congreso-ilegalizar-las-organizaciones-golpistas/</t>
  </si>
  <si>
    <t>https://pbs.twimg.com/media/DsrGM2BWkAAJRi4.jpg</t>
  </si>
  <si>
    <t>¡Afíliate o colabora!</t>
  </si>
  <si>
    <t>Perfil oficial de información de @vox_es | Libertad, identidad, soberanía, familia, valores, justicia y democracia | #EspañaLoPrimero</t>
  </si>
  <si>
    <t>https://www.voxespana.es/afiliarse-a-vox</t>
  </si>
  <si>
    <t>Juan Wagner PODEMOS</t>
  </si>
  <si>
    <t>Los gibraltareños tenían que estar dementes y seniles si quisieran ser españoles donde la corrupción la chulería, la prepotencia y la Santa inquisición gobierna Donde el fascismo campa a sus anchas y déspotas como @pablocasado_ @Albert_Rivera @Santi_ABASCAL están al orden del día</t>
  </si>
  <si>
    <t>Edu</t>
  </si>
  <si>
    <t>en todo el mundo en casa</t>
  </si>
  <si>
    <t>escribir un libro, pintar un cuadro y ser presidente</t>
  </si>
  <si>
    <t>Todo Radio🇪🇸</t>
  </si>
  <si>
    <t>Santi ABASCAL apoyando al mundo rural, a los agricultores y cazadores de España..:  via @YouTube</t>
  </si>
  <si>
    <t>http://youtu.be/iwoDnAGVszA?a</t>
  </si>
  <si>
    <t>Somo, Cantabria</t>
  </si>
  <si>
    <t>Playa de Somo,Cantabria. ESPAÑA</t>
  </si>
  <si>
    <t>https://www.youtube.com/channel/UCzAeV22GnQxwUBokDOEyb4A</t>
  </si>
  <si>
    <t>I added a video to a @YouTube playlist  Santi ABASCAL apoyando al mundo rural, a los agricultores y cazadores</t>
  </si>
  <si>
    <t>Tabarnésandaluz</t>
  </si>
  <si>
    <t>Me acabo de encontrar esto por las redes. ¿Se puede animar a pintar las calles con símbolos golpistas?. @bellaindomita @UMCmossos @CCivicaCatalana @Santi_ABASCAL @JovesSCC @InesArrimadas @policia @DolcaCatalunya @AEBCatalunya @Bcnisnotcat_ @numer344</t>
  </si>
  <si>
    <t>https://pbs.twimg.com/media/DsrCxkiWwAAG-LT.jpg</t>
  </si>
  <si>
    <t>Padre que defiende los valores familiares y ciudadano del mundo</t>
  </si>
  <si>
    <t>Jesús Romero León</t>
  </si>
  <si>
    <t>Realmente lo que estáis haciéndo tu @Ortega_Smith @Santi_ABASCAL @monasterioR @ivanedlm y todo el equipo de @vox_es es digno de admirar. Vuestro desaliento y tenacidad hacen cada vez más cercano nuestro sueño (será pronto realidad) de que nuestra voz sea escuchada y defendida.</t>
  </si>
  <si>
    <t xml:space="preserve">Jerez de la Frontera, Cádiz. </t>
  </si>
  <si>
    <t>Eternamente agradecido.</t>
  </si>
  <si>
    <t>Bea Miguez</t>
  </si>
  <si>
    <t>He soñado que Santi Abascal ganaba las elecciones a presidente y España volvía a ser una dictadura. Tengo miedo xd</t>
  </si>
  <si>
    <t>Santiago de Compostela, España</t>
  </si>
  <si>
    <t>Aquí vomito todos mis pensamientos pa sentirme bien ✨</t>
  </si>
  <si>
    <t>Trendinalia España</t>
  </si>
  <si>
    <t>Los 20 tuits más RTs de @gabrielrufian @santi_abascal @joninarritu @krls @albert_rivera @jordi_canyas @beatriztalegon @teresarodr_ @agarzon @sanchezcastejon @jordialapreso @pablo_iglesias_ @junqueras @anapastorjulian @monederojc el jueves 22 de noviembre</t>
  </si>
  <si>
    <t>https://twitter.com/trendinaliaES/timelines/1065849541994340352</t>
  </si>
  <si>
    <t>Las tendencias de Twitter, Google y YouTube en la geografía española — #trndnl</t>
  </si>
  <si>
    <t>http://trendinalia.com/twitter-trending-topics/spain/</t>
  </si>
  <si>
    <t>PARTIDO SOLIDARIDAD</t>
  </si>
  <si>
    <t>La derechita cobarde y la veleta naranja, caen en todas las trampas que le tiende la izquierda: Condenan el franquismo en el Senado y se van de rositas los del otro bando de la Guerra Civil @Santi_ABASCAL @CasaReal @GeneralDavila @Ortega_Smith @FNFFranco @hermanntertsch</t>
  </si>
  <si>
    <t>La situación en España es cada vez más grave. Recomendamos que os unáis a VOX. Y que ayudéis a Venezuela, Nicaragua y Cuba a salir de la dictadura comunista</t>
  </si>
  <si>
    <t>COJONES AZUL</t>
  </si>
  <si>
    <t>Ladran, luego cabalgamos! 😜✌️💚 Crece la alarma en PP y Ciudadanos por la subida de Vox en Andalucía @vox_es @Santi_ABASCAL  vía @ABCespana</t>
  </si>
  <si>
    <t>Gandia, España</t>
  </si>
  <si>
    <t>https://www.abc.es/espana/abci-crece-alarma-pp-y-ciudadanos-subida-andalucia-201811230403_noticia.html#ns_campaign=amp-rrss-inducido&amp;ns_mchannel=abc-es&amp;ns_source=tw&amp;ns_linkname=noticia.foto&amp;ns_fee=0</t>
  </si>
  <si>
    <t>Aquellos maravillosos años...</t>
  </si>
  <si>
    <t>💊Fran Aspirina</t>
  </si>
  <si>
    <t>El Congreso es un gallinero entre fachas y golpistas.Y eso que aún no está ahí dentro el tito @Santi_ABASCAL. Deseando que haya elecciones para ver cómo pone al retrasado de @gabrielrufian en su sitio. Se rumorea que @MovistarPlus emitirá los plenos en pago por visión @vox_es ya!</t>
  </si>
  <si>
    <t>ciudad jardin (Malaga)</t>
  </si>
  <si>
    <t>Malagueño,enamorado de Málaga y del MálagaCF. Tuiteo lo que pienso sin mordazas. Técnico de Farmacia en Málaga capital.</t>
  </si>
  <si>
    <t>El presidente de España Plagio Sánchez fue recibido a su llegada a La Habana por el vice canciller de asuntos sin importancia señor Recoge Lotuyo y cuatro gatos más del sindicato de los vendedores de churros de Bacunayagua. @FJL_EsRadio @Ortega_Smith @Santi_ABASCAL @monasterioR</t>
  </si>
  <si>
    <t>Tercio Hispánico. #LibertadPolíticaColectiva</t>
  </si>
  <si>
    <t>Elentir 🇪🇸</t>
  </si>
  <si>
    <t>Tramposa respuesta del PP a @Santi_Abascal: esto no va de uniformes, sino de libertad de enseñanza. ¿Con qué derecho se pone un gobierno a dictar cómo deben ser los uniformes escolares?</t>
  </si>
  <si>
    <t>http://www.outono.net/elentir/2018/11/23/tramposa-respuesta-del-pp-a-abascal-esto-no-va-de-uniformes-sino-de-libertad-de-ensenanza/</t>
  </si>
  <si>
    <t>La Cruz de Borgoña ha sido incluida en escudos de armas y en banderas de España desde 1506. Como símbolo vexilológico, ha sido el más utilizado hasta 1785.</t>
  </si>
  <si>
    <t>Vigo · Galicia · España</t>
  </si>
  <si>
    <t>«Lo único que se necesita para que triunfe el mal es que los hombres de bien no hagan nada.» Edmund Burke</t>
  </si>
  <si>
    <t>http://www.elentir.info</t>
  </si>
  <si>
    <t>FRICO</t>
  </si>
  <si>
    <t>El otro día @pedroj_ramirez en @eslamananadeFJL dudaba del sentido democrático de @Ortega_Smith, es curioso, después le gusta entrevistar a Pablo Iglesias jugando al tenis de mesa o irse al Desayuno de la Oración con ZP. @Santi_ABASCAL @vox_es #EspañaViva</t>
  </si>
  <si>
    <t>P B Marbe-Malaga</t>
  </si>
  <si>
    <t>Le</t>
  </si>
  <si>
    <t>Español, madrileño y pepinero.</t>
  </si>
  <si>
    <t>Paco Tor</t>
  </si>
  <si>
    <t>#gibraltarNoesNo @sanchezcastejo_ @Santi_ABASCAL @JosepBorrellF @sanchezcastejon @pablocasado_ Ningun paso atrás!! no al desprecio de UK y UE..nuestra debilidad nos costó un aeropuerto en tierras española...UNION TOTAL</t>
  </si>
  <si>
    <t>Torremolinos, España</t>
  </si>
  <si>
    <t>Me gusta montar en bicicleta con mi gorrito. La vida es bonita si se es libre</t>
  </si>
  <si>
    <t>pic.twitter.com/JLaPpmqT6J</t>
  </si>
  <si>
    <t>Valencia</t>
  </si>
  <si>
    <t>Nelson Ramírez Zabala</t>
  </si>
  <si>
    <t>#Vox único PartidoPolítico #español q mientras combate al comunismo se solidariza con los #venezolanos brindando una mano amiga. El enunciado d @Santi_ABASCAL #LaEspañaViva columna del planteamiento de @vox_es reconoce la importancia de la cooperación y unión hispana @monasterioR RT @la_patilla: Partido VOX de España solicitó a gobierno español otorgar asilo automático a los venezolanos que escapan de la tiranía de Maduro</t>
  </si>
  <si>
    <t>https://twitter.com/la_patilla/status/1065644683555160064
http://j.mp/2Ko9IJg</t>
  </si>
  <si>
    <t>https://youtu.be/nKuTX3MaDzg</t>
  </si>
  <si>
    <t>Nacionalista Venezolano | Miembro de @OrdenVenezuela Vanguardia y Estandarte del Nacionalismo Venezolano #VenezuelaQuiereORDEN IG nelsonrz33 http://ordenvenezuela.org</t>
  </si>
  <si>
    <t>👤</t>
  </si>
  <si>
    <t>Jose R. Molina</t>
  </si>
  <si>
    <t>SERÍA BUENO ENTENDER QUE PABLO CASADO PUEDE SER EL ÚLTIMO PRESIDENTE DEL PARTIDO POPULAR @pablocasado_ @MargalloJm @Santi_ABASCAL @vox_es @ppmadrid @VOXSevilla @eslatarde @EsperanzAguirre @libertaddigital #AndaluciaporEspaña #VotaVOX #SomosVOX #VOXGanaAndalucia RT @pablocasado_: Condeno todas las dictaduras sin excepción. España es un gran país que dio una lección en la Transición, debemos conservar su espíritu de concordia. @HoyPorHoy, @La_SER</t>
  </si>
  <si>
    <t>https://twitter.com/pablocasado_/status/1065549019861172225</t>
  </si>
  <si>
    <t>https://pbs.twimg.com/media/DsmXLiPWoAUra2Z.jpg</t>
  </si>
  <si>
    <t xml:space="preserve">Madrid </t>
  </si>
  <si>
    <t>Doctor en Historia de la Educación UNED Licenciado en Ciencias de la Educación, Grado filología inglesa e hispánica, Historia del Arte y Magisterio</t>
  </si>
  <si>
    <t>Anòn 🎗️</t>
  </si>
  <si>
    <t>Con dos cojones!!! Venga!! tirando para Gibraltar @guardiacivil @policia y @Santi_ABASCAL y también si tienes huevos les cantas el #AporEllos que los catalanes y la @RoyalNavy nos queremos reír un rato.</t>
  </si>
  <si>
    <t>https://pbs.twimg.com/media/DspZ1QTV4AAMg6i.jpg</t>
  </si>
  <si>
    <t>WORLD</t>
  </si>
  <si>
    <t>Vox Huelva</t>
  </si>
  <si>
    <t>🔴 #HUELVA, acto electoral VOX, martes 27 de noviembre. 👉@Santi_ABASCAL, presidente de @vox_es 👉@FSerranoCastro, candidato a la presidencia de la Junta 👉@SegoviaBrome, presidente @Huelva_Vox 📍Plaza de la Merced, 19:00 h. 💪🇪🇸 ACUDE CON TU BANDERA #AndalucíaPorEspaña</t>
  </si>
  <si>
    <t>https://pbs.twimg.com/media/DspTw2RVsAA2AGH.jpg</t>
  </si>
  <si>
    <t>info@huelva.voxespana.es</t>
  </si>
  <si>
    <t>Cuenta oficial de @vox_es en la Provincia de Huelva. Libertad, identidad, soberanía, familia, valores, justicia y democracia. #HacerEspañaGrandeOtraVez</t>
  </si>
  <si>
    <t>http://www.voxespana.es/huelva</t>
  </si>
  <si>
    <t>Lacuello🎗️</t>
  </si>
  <si>
    <t>Jijijijijijijijijijkjijijihhhhhhh @Santi_ABASCAL RT @gallifantes: Donald Tusk envía el borrador de la Declaración en la Futura Relación entre la UE y Reino Unido. 26 páginas y cero menciones a Gibraltar. Cero. Nusé @Santi_ABASCAL yo enviaría los tercios de Flandes. Están ninguneando España. 🍿</t>
  </si>
  <si>
    <t>https://twitter.com/gallifantes/status/1065572234490757125</t>
  </si>
  <si>
    <t>Sant Esteva de les Roures</t>
  </si>
  <si>
    <t>Estudi interiorisme a Sant Esteve de les Roures #yoparaloqueseasinines</t>
  </si>
  <si>
    <t>https://spanishpolice.github.io/</t>
  </si>
  <si>
    <t>Jose Miguel</t>
  </si>
  <si>
    <t>Se está removiendo la España 🇪🇸 viva , es el momento de resurgir y empezar a crear una España unida que sea por y para los españoles @vox_es @Santi_ABASCAL</t>
  </si>
  <si>
    <t>Albacete, España</t>
  </si>
  <si>
    <t>De Albacete y con la caza de la perdiz con reclamo macho pero sobre todo del Albacete balompié</t>
  </si>
  <si>
    <t>Jardiner</t>
  </si>
  <si>
    <t>Como de guay sería si el viernes que viene subo una foto con Santi Abascal? RT @Santi_ABASCAL: Próximos actos de VOX en los que participaré: 📍Lunes 26 en GRANADA. 📍Martes 27 en HUELVA 📍Miércoles 28 en JAÉN 📍Jueves 29 en ROQUETAS -Almería 📍Viernes 30 en Melilla y Sevilla.</t>
  </si>
  <si>
    <t>Donde haya un Beefeater</t>
  </si>
  <si>
    <t>Puigdemont, te van a meter en prisión.</t>
  </si>
  <si>
    <t>penguin angela🐧</t>
  </si>
  <si>
    <t>Próximos actos de VOX en los que participaré: 📍Lunes 26 en GRANADA. 📍Martes 27 en HUELVA 📍Miércoles 28 en JAÉN 📍Jueves 29 en ROQUETAS -Almería 📍Viernes 30 en Melilla y Sevilla.</t>
  </si>
  <si>
    <t>#yuuprotectionsquad</t>
  </si>
  <si>
    <t>3:01 in be as one</t>
  </si>
  <si>
    <t>https://curiouscat.me/rolldeepm</t>
  </si>
  <si>
    <t>Española 🇪🇸</t>
  </si>
  <si>
    <t>Siglo XXI: comportamientos nacionalsocialistas, como los de hace casi un siglo, con listas de exclusión (como en el hilo que retuiteo), aparte de la consabida "propaganda" y adoctrinamiento escolar. Y de los que curiosamente se sienten orgullosos. @Santi_ABASCAL RT @324Roures: Hi ha persones que no se’ls hauria de permetre trepitjar terres catalanes. Anem a fer llista: - El Rei. - Albert Rivera - Carlos Carrizosa. - Inés Arrimadas. - Josep Borrell. - Miquel Iceta. - Pablo Casado. - Xavier Albiol. - José Maria Aznar. - Jordi Cañas. Amplia la llista👇🏼</t>
  </si>
  <si>
    <t>https://twitter.com/324Roures/status/1065366656803897350</t>
  </si>
  <si>
    <t>Viva España y con orgullo luzco mi bandera. #defiendeEspaña #yotambiensoyFCSE 🇪🇸</t>
  </si>
  <si>
    <t>Charlie</t>
  </si>
  <si>
    <t>Infundats?? Ja està l’organització mundial de la tortura veient TV3. No vais a hacer nada, @CiudadanosCs @vox_es?? @InesArrimadas sálvanos! @Santi_ABASCAL ayúdanos! RT @324cat: En una carta oberta enviada a Pedro Sánchez, l'Organització Mundial contra la Tortura considera "infundats" els càrrecs de què s'acusa Cuixart i Sànchez</t>
  </si>
  <si>
    <t>https://twitter.com/324cat/status/1065725659098566657
http://bit.ly/2AaP8Ye</t>
  </si>
  <si>
    <t>https://pbs.twimg.com/media/Dso3FWjXoAEa-h4.jpg</t>
  </si>
  <si>
    <t>Catalunya</t>
  </si>
  <si>
    <t>🎗💙 aborigen #JuntasMásFuertes 💙🎗</t>
  </si>
  <si>
    <t>Estos independentistas 😊 Perdonad esta No es la Noticia 😂😂😂😂 @Albert_Rivera @pablocasado_ @Santi_ABASCAL #KaleBorroca 😂😂😂😂 👇 Un grupo de taxistas con actitud violenta 'revienta' el acto de Díaz en Sevilla</t>
  </si>
  <si>
    <t>https://www.elconfidencial.com/elecciones-andalucia/2018-11-22/sevilla-acto-diaz-taxistas_1663806/</t>
  </si>
  <si>
    <t xml:space="preserve">Infierno </t>
  </si>
  <si>
    <t>A veces puedo caerte bien. Y a veces puedo caerte mal. Nunca seré tu amigo 😒 Canario Cómo El 🍌 🍌🍌 Construyendo El Camino De Mi Princesa 👸 Voto Podemos ☐</t>
  </si>
  <si>
    <t>deBernuyalcielo</t>
  </si>
  <si>
    <t>Don @Santi_ABASCAL presidente, ya está bien de los que les cuesta decir la palabra España. Mi voto para @vox_es</t>
  </si>
  <si>
    <t>Bernuy Toledo</t>
  </si>
  <si>
    <t>Pablo Emilio Escobar Gaviria fue el primer gran emprendedor. El 11 S no se lo cree ni su puta madre. Menos tango y mas laburar. La cerveza es el mate Europeo</t>
  </si>
  <si>
    <t>http://www.mundodvd.com</t>
  </si>
  <si>
    <t>Arquímedes de Siracusa.</t>
  </si>
  <si>
    <t>La encuesta ganadora de VOX no está disponible solo para los miles y miles de españoles demócratas deseosos de constituirse en los protagonistas de un verdadero cambio en Andalucia y toda España. @FJL_EsRadio @Ortega_Smith @Santi_ABASCAL @monasterioR VIVA VOX RT @JavierJ67840778: 9 diputados saco Cs en Andalucía hace 4años desde la nada y "no metía ni 1/4 de la gente q mete @vox_es en los actos" me decía hoy un exCs en el acto de la caza. El olfato popular es más certero que las encuestas. La sorpresa galopa también desde la Andalucía rural</t>
  </si>
  <si>
    <t>https://twitter.com/JavierJ67840778/status/1065372962461753350</t>
  </si>
  <si>
    <t>https://pbs.twimg.com/media/Dsj3DfXWoAAjqOk.jpg</t>
  </si>
  <si>
    <t>Soy físico, ingeniero, inventor, astrónomo y matemático. Se conocen pocos detalles de mi vida, pero estoy considerado uno de los científicos más importantes.</t>
  </si>
  <si>
    <t>Judas Sánchez sería capaz de plagiar la segunda parte de Don Quijote algo que ya otros farsantes intentaron hacer más de una vez. @FJL_EsRadio @Ortega_Smith @Santi_ABASCAL @monasterioR VIVA VOX VOTO VOX POR UNA ESPAÑA VIVA SIN CORRUPCIÓN. Y sin plagio</t>
  </si>
  <si>
    <t>bitMomentum</t>
  </si>
  <si>
    <t>Más comentados hoy en Derecha/Centro Dcha.: ➀ @sanchezcastejon ↑ ➁ @Alvisepf ↓ ➂ @gabrielrufian ↓ ➃ @rosadiezglez ↓ ➄ @PSOE ↑ ➅ @Santi_ABASCAL ↓ ➆ @Albert_Rivera ↓ ➇ @Desayunos_tve ↓ ➈ @JosPastr ↓ ➉ @javiernegre10 ↓</t>
  </si>
  <si>
    <t>https://pbs.twimg.com/media/Dsou8kQVYAAy7zu.jpg</t>
  </si>
  <si>
    <t>Observatorio en tiempo real de política española en Twitter.</t>
  </si>
  <si>
    <t>http://www.bitmomentum.com</t>
  </si>
  <si>
    <t>Más influyentes hoy en Derecha/Centro Dcha.: ➀ @Alvisepf ↓ ➁ @rosadiezglez ↓ ➂ @Santi_ABASCAL ↓ ➃ @JosPastr ↓ ➄ @javiernegre10 ↓ ➅ @Desayunos_tve ↓ ➆ @Albert_Rivera ↓ ➇ @carrizosacarlos ↑ ➈ @ldpsincomplejos ↑</t>
  </si>
  <si>
    <t>https://pbs.twimg.com/media/Dsout8xVAAE5vtd.jpg</t>
  </si>
  <si>
    <t>Andalucia requiere de un nuevo liderazgo para dar un salto de longitud hacia un bienestar real y no virtual. VOX es la solución para tener un gobierno sin corrupción. @FJL_EsRadio @Ortega_Smith @Santi_ABASCAL @monasterioR</t>
  </si>
  <si>
    <t>Pitágora de Samos</t>
  </si>
  <si>
    <t>La unidad de España se hará con justicia, verdad y bondad, no con el implacable odio de los golpistas y sus aliados dentro y fuera del país. Los españoles son fieles a su bandera y sus instituciones democráticas. @FJL_EsRadio @Ortega_Smith @Santi_ABASCAL @monasterioR VIVA VOX.</t>
  </si>
  <si>
    <t>World</t>
  </si>
  <si>
    <t>Pitágoras de Samos fue matemático, filósofo. El teorema de Pitágoras, llamado así por Euclides, ya era conocido con mucha anterioridad a Pitágoras.</t>
  </si>
  <si>
    <t>La unidad de España frente al peligro secesionista es imprescindible. Trabajar por crear empleos de calidad y eliminar el paro y mejorar las pensiones a jubilados son metas factibles si se pone el énfasis en ello con honestidad. @FJL_EsRadio @Ortega_Smith @Santi_ABASCAL viva VOX</t>
  </si>
  <si>
    <t>Alex Aramberri</t>
  </si>
  <si>
    <t>Llevo 15 años votando al PP en Andalucía y mi voto nunca ha servido de nada. Esta vez, por correo por motivos de trabajo, va para @vox_es y para @Santi_ABASCAL</t>
  </si>
  <si>
    <t>https://pbs.twimg.com/media/DsooVf-VYAEygAz.jpg</t>
  </si>
  <si>
    <t>Beat Miró</t>
  </si>
  <si>
    <t>En marcha la cruzada para invadir #Gibraltar de los Sres. @JosepBorrellF, @pablocasado_, @Albert_Rivera i @Santi_ABASCAL, Permítanme un consejo, inténtenlo primero con la #IsladePerejil</t>
  </si>
  <si>
    <t>https://pbs.twimg.com/media/Dsom5jvWkAArJOd.jpg</t>
  </si>
  <si>
    <t>Sant Joan de les Abadesses</t>
  </si>
  <si>
    <t>Català, etern candidat a la santedat. Ciutadà de la República Catalana.</t>
  </si>
  <si>
    <t>Juancar</t>
  </si>
  <si>
    <t>Este hombre tarde o temprano hará algo grande por España 🇪🇸🇪🇸 #EspañaPrimero #VotaVox #EspañaViva @vox_es @Santi_ABASCAL</t>
  </si>
  <si>
    <t>https://pbs.twimg.com/media/DsogHjLWkAINqxu.jpg</t>
  </si>
  <si>
    <t>Turín, Piamonte</t>
  </si>
  <si>
    <t>Soy Madridista⚪, Español 🇪🇸 y Cristianista 🇵🇹🐐 1️⃣🌍👑 100 % y al que no le guste que no me siga.</t>
  </si>
  <si>
    <t>http://Instagram.com/_juancar7</t>
  </si>
  <si>
    <t>juan arolas</t>
  </si>
  <si>
    <t>Llevaba tiempo sin ir a una biblioteca y me encuentro esto @vox_es @Santi_ABASCAL. Qué ganas de que todos esos volúmenes estén unidos y juntos bajo la bandera de su país, ESPAÑA.</t>
  </si>
  <si>
    <t>https://pbs.twimg.com/media/Dsod48iWwAAb4zV.jpg</t>
  </si>
  <si>
    <t>Andrés Santo #EspañaLoPrimero</t>
  </si>
  <si>
    <t>Todo apunta a un descalabro del @PPopular en el nuevo ciclo electoral que se abre, es la oportunidad que no debe desperdiciar @vox_es de liderar un cambio en España que devuelva la ilusión a los españoles. @Santi_ABASCAL tiene las cualidades innatas para liderar un futuro mejor.</t>
  </si>
  <si>
    <t>https://pbs.twimg.com/media/DsodC0FXoAY6341.jpg</t>
  </si>
  <si>
    <t>🇪🇸Fundador de Unión de Patriotas / Simpatizante de @vox_es/ Frente Nacional de Le Pen /@FratellidItaIia de @GiorgiaMeloni /Análisis Político y Social/CCPP-UNED</t>
  </si>
  <si>
    <t>Pili Hidalgo</t>
  </si>
  <si>
    <t>A ver @Santi_ABASCAL dan libertad para que las niñas lleven falda o pantalón o lo que les de la puta gana, usted puede ponerle a toda su prole falda, lazo o incluso hábito si quiere. Lamentablemente no todos los colegios tienen esta acertada norma RT @Santi_ABASCAL: ¿ @pablocasado_ , esto es una broma o de verdad vais a empezar a decir a los colegios cómo tienen que ser los uniformes? ¿Os suena eso de la “libertad de los padres para elegir la educación de sus hijos”? Dejad a las familias y a los niños en paz.</t>
  </si>
  <si>
    <t>Tengo unos principios pero si no te gustan y me convences, tengo otros. Software architect, CM y opinadora de lo que me echen.</t>
  </si>
  <si>
    <t>http://www.instagram.com/naireh</t>
  </si>
  <si>
    <t>José Enrique Gómez</t>
  </si>
  <si>
    <t>Y con la ayuda de todos @vox_es @Santi_ABASCAL @PPopular @ESPCiudadana @Albert_Rivera @CiudadanosCs RT @spiriman: Y mañana pa Córdoba. Me pide el juez decano de Córdoba entre uno y cuatro años de prisión por tatatatatachán.......INJURIAS Y CALUMNIAS!!! 😂😂😂 Que el deje en libertad a un cabronazo por abusar de una menor, es una calumnia. Ya se verá.</t>
  </si>
  <si>
    <t>https://twitter.com/spiriman/status/1065677004308193283
https://youtu.be/BtHTaahF7Ag</t>
  </si>
  <si>
    <t>Fernando</t>
  </si>
  <si>
    <t>Voy de frente dando la cara, no me oculto ante las injusticias</t>
  </si>
  <si>
    <t>Jaén</t>
  </si>
  <si>
    <t>Alberto Miras</t>
  </si>
  <si>
    <t>No le deseó a nadie el dolor de muela que estoy teniendo estos días. Bueno sí, a @Santi_ABASCAL y cosas peores...</t>
  </si>
  <si>
    <t>Águilas (Murcia)</t>
  </si>
  <si>
    <t>INSTAGRAM: Amiras96</t>
  </si>
  <si>
    <t>Javier Jimenez</t>
  </si>
  <si>
    <t>Anoche hizo 2 años q estuve con mis hijos en Llodio.Anoche conocí a quien fuera concejal d Llodio del PP,hoy líder de @vox_es @Santi_ABASCAL</t>
  </si>
  <si>
    <t>https://pbs.twimg.com/media/DsoTCXyW0AAoQz5.jpg</t>
  </si>
  <si>
    <t>Haciendo el bien. Y español más que nunca</t>
  </si>
  <si>
    <t>AnaGarcia</t>
  </si>
  <si>
    <t>🇪🇸✌️ #EspañaViva #VotaVOX Sólo un partido puede acabar con esto y tiene nombre Los Españoles #VotaVOX @vox_es @Santi_ABASCAL @vox_cartagena #BuenasNoches 🇪🇸</t>
  </si>
  <si>
    <t>https://pbs.twimg.com/media/DsoRvo5XgAIbZPi.jpg</t>
  </si>
  <si>
    <t>Cartagena, España</t>
  </si>
  <si>
    <t>Phil Man.</t>
  </si>
  <si>
    <t>Vamos Santi Abascal, monta tu corcel y sal rápido hacia la frontera. No olvides llevarte a Alberto y a Pablo. España os necesita coño!!! RT @324cat: ⚠ #ÚltimaHora May avisa Espanya que protegirà la "sobirania britànica" de Gibraltar en les negociacions del Brexit</t>
  </si>
  <si>
    <t>https://twitter.com/324cat/status/1065633748476149760
http://bit.ly/2Tv0QWq</t>
  </si>
  <si>
    <t>https://pbs.twimg.com/media/DsnkJusWwAANW9F.jpg</t>
  </si>
  <si>
    <t>República Catalana</t>
  </si>
  <si>
    <t>Si no estáis prevenidos ante los Medios de Comunicación, os harán amar al opresor y odiar al oprimido. Malcolm X</t>
  </si>
  <si>
    <t>Mei Barcelo</t>
  </si>
  <si>
    <t>Aprovechando el paseo a caballo @Santi_ABASCAL acércate al Peñón. A ver si eres tan machote. RT @ramoncotarelo: ¡Venga, Borrell, a conquistar el peñón por Dios y por España! ¡Venga, mozo! Mandad allí los valientes piolines y los audaces picoletos. Id en manada, como soléis.</t>
  </si>
  <si>
    <t>https://twitter.com/ramoncotarelo/status/1065640371710029825
https://twitter.com/caval100/status/1065639388678406144</t>
  </si>
  <si>
    <t>No soc una princesa, soc una Khalessi</t>
  </si>
  <si>
    <t>Los diputados que España paga miles de euros para que la desprecien y la ataquen. Qué cojones!!!! @monasterioR @Santi_ABASCAL @FJL_EsRadio @Ortega_Smith VOX viva VOX por una España viva y unida sin corrupción y sin traidores RT @Anonymus_ES: Cuando Ana Pastor echó a Gabriel Rufián del congreso, todo el grupo parlamentario ERC se fue del congreso voluntariamente para acompañar a Rufián. Esta gente cobra más de 6.000€/mes y tu no puedes llegar ni a final de mes, el problema entonces no son los bancos, sino ellos.</t>
  </si>
  <si>
    <t>https://twitter.com/Anonymus_ES/status/1065212198836940800</t>
  </si>
  <si>
    <t>Estado de sitio</t>
  </si>
  <si>
    <t>Cataluña, España</t>
  </si>
  <si>
    <t>Causas para su adopción: Cuando se produzca o pueda producirse una insurrección contra su integridad territorial que no pueda resolverse por otros medios.</t>
  </si>
  <si>
    <t>El Inkreible Oju!!!</t>
  </si>
  <si>
    <t>Y los de @vox_es y @Santi_ABASCAL aplaudiendo en su casa a rabiar 👏👏👏👏👏 RT @LaVozdeCadiz: Trump autoriza disparar a matar para proteger la frontera ante la llegada de inmigrantes</t>
  </si>
  <si>
    <t>https://twitter.com/LaVozdeCadiz/status/1065671862808731649
http://ow.ly/6Lro30mIBsK</t>
  </si>
  <si>
    <t>Miguel Ángel Bolaños</t>
  </si>
  <si>
    <t>No voy a retuitear nada de Santiago Abascal (no hay que darle publi a la nula inteligencia) pero el nota dice que frente a la Andalucía de Almanzor (Almanzor? Andaluz?) y Al Andalus, el prefiere la de Fernando III el Santo (??). En fin, más libros de Historia para @Santi_ABASCAL</t>
  </si>
  <si>
    <t>Lidingö, Sverige</t>
  </si>
  <si>
    <t>Diplomado, Licenciado, Master en Contabilidad y vendiendo por teléfono. Novelista y soñador. Y ahora aprendiz de chirigotero LA VIDA ES AHORA</t>
  </si>
  <si>
    <t>pic.twitter.com/IlDLl70iZx</t>
  </si>
  <si>
    <t>Crusaders</t>
  </si>
  <si>
    <t>He aquí la "derechita cobarde" de la que habla Santi Abascal. Este PP es igual de cobarde y pusilánime que el de Rajoy El Senado aprueba condenar el franquismo gracias a la abstención del PP  vía @MediterraneoDGT</t>
  </si>
  <si>
    <t>Chiclana de la Frontera</t>
  </si>
  <si>
    <t>No, no soy community manager ni social media, ni polladas por el estilo. Soy PERIODISTA de los que escriben y hablan. Ah, también actor aficionado...</t>
  </si>
  <si>
    <t>http://reinodetaifa.blogspot.com</t>
  </si>
  <si>
    <t>https://www.mediterraneodigital.com/espana/casa-real/el-senado-aprueba-condenar-el-franquismo-gracias-a-la-abstencion-del-pp.html</t>
  </si>
  <si>
    <t>Sevilla (España)</t>
  </si>
  <si>
    <t>Protégenos bajo la sombra de tus alas.En contra del marxismo cultural imperante 🇪🇸#QueVuelvaNuestroEscudo.#DefendSyria 🇸🇾</t>
  </si>
  <si>
    <t>ForoNaranja.es</t>
  </si>
  <si>
    <t>Vergüenza ajena... Y por sus seguidores no se si mas pena o miedo... No pensaba yo que estuvieramos en España a esos grados de garrulismo... De intereses lo tenia claro pero de garrulismo me ha sorprendido y todo... @Santi_ABASCAL</t>
  </si>
  <si>
    <t>https://pbs.twimg.com/media/Dsn7nxfV4AA2qqa.jpg</t>
  </si>
  <si>
    <t>te vemos en tu foro de referencia http://foro.foronaranja.es/index.php</t>
  </si>
  <si>
    <t>http://foro.foronaranja.es/index.php</t>
  </si>
  <si>
    <t>Raimon García</t>
  </si>
  <si>
    <t>Vaja vaja vaja... curiós... @InesArrimadas @Albert_Rivera @pablocasado_ @Santi_ABASCAL @PPopular @PPCatalunya @miqueliceta @vox_es @CiudadanosCs @CiutadansCs @PSOE @socialistes_cat @GobDeEspana #LlibertatPresosPoliticsiexiliats RT @eldiarioes: 📑 Más de 120 catedráticos y profesores de Derecho rechazan las acusaciones de rebelión y sedición en el caso 'procés'</t>
  </si>
  <si>
    <t>https://twitter.com/eldiarioes/status/1065528713595490304
https://www.eldiario.es/catalunya/politica/Catedraticos-profesores-banalizacion-rebelion-sedicion_0_838166505.html</t>
  </si>
  <si>
    <t>Coma-Ruga, República Catalana</t>
  </si>
  <si>
    <t>Economista, gestor, consignatari, català, culé, socialdemòcrata, reformista i indepe | @CridaNacional | #LlibertatPresosPoliticsiExiliats | #RepublicaCatalana</t>
  </si>
  <si>
    <t>E T X E B E 🎗®️</t>
  </si>
  <si>
    <t>Verás cuando se enteren los Españoles y muy Españoles, que se preparen en el English channel que envían otra "escuadra invencible". ¿Os lo traducimos @pablocasado_ , @Albert_Rivera @Santi_ABASCAL ? RT @fifimadrid: British supermarket @Morrisons is launching the ultimate Christmas treat (apparently): Cheesy churros with tomato and red pepper sauce for dipping. Wait until Spain hears about this...</t>
  </si>
  <si>
    <t>https://twitter.com/fifimadrid/status/1065623492018794498
https://bit.ly/2KqqGqx</t>
  </si>
  <si>
    <t>https://pbs.twimg.com/media/Dsnah_rWkAYbTJO.jpg</t>
  </si>
  <si>
    <t>Auskalo</t>
  </si>
  <si>
    <t>"No quería ser jugador de fútbol, quería ser jugador de la @RealSociedad", Xabier Prieto Argarate. Para lo que haga falta, Donostiarra y Txuriurdin.</t>
  </si>
  <si>
    <t>https://www.booking.com/s/44_6/etxmen82</t>
  </si>
  <si>
    <t>El PSOE es una máquina de fabricar corrupción y corrosión. España no puede soportar tanto abuso. Hoy se espera el arribo de Judas Sánchez a la Habana. Aquí lo veré por la televisión. Esto es increíble. @FJL_EsRadio @Ortega_Smith @Santi_ABASCAL @monasterioR VIVA VOX desde Cuba. RT @rosadiezglez: La Ministra Delgado destituye al abogado del Estado que defendido la rebelión en la causa por el 1-O. Esto si que es un escupitajo a la independencia profesional y al propio sistema democrático. Esto también es corrupción, y de las mas graves.</t>
  </si>
  <si>
    <t>https://twitter.com/rosadiezglez/status/1065316735249776640
http://ow.ly/KiCh30mHPrd</t>
  </si>
  <si>
    <t>Jesús Caballero</t>
  </si>
  <si>
    <t>Me parece más urgente la LIVG, que se encarga de matar a vivos, y dejarse ya de seguir con el tema de los que ya murieron. Se os olvidan los vivos que podéis salvar!!! @FSerranoCastro @igualdadreal_es @antoniaalbaorte @Santi_ABASCAL RT @FSerranoCastro: Vamos a pedir la derogación inmediata de la Ley de Memoria Histórica andaluza. No puede utilizarse el pasado para dividirnos. #AndaluciaPorEspana Vota VOX</t>
  </si>
  <si>
    <t>https://twitter.com/FSerranoCastro/status/1065218333832855553</t>
  </si>
  <si>
    <t>Andalucía, la q ya no divierte</t>
  </si>
  <si>
    <t>Padre. Lector práctico. Economista. Hijo e hija. Feminista, pero no de ahora, de siempre. Desde pequeñito, vaya....Mas no alineado con la guerra de sexos, ...</t>
  </si>
  <si>
    <t>Arnau Mir de Tost🎗</t>
  </si>
  <si>
    <t>Impaciente por ver al patriota de cartón piedra @Santi_ABASCAL y su tropa de @voxnoticias_es cabalgando por Gibraltar para liberarlo A ver SI HAY COJONES. Venga PATRIOTAS de medio pelo. May avisa Espanya que protegirà la "sobirania britànica" de Gibraltar</t>
  </si>
  <si>
    <t>http://www.ccma.cat/324/brexit-may-avisa-espanya-que-protegira-la-sobirania-britanica-de-gibraltar/noticia/2888546/</t>
  </si>
  <si>
    <t>República Catalunya. Frontera</t>
  </si>
  <si>
    <t>||⭐|| #FreedomCatalonia</t>
  </si>
  <si>
    <t>http://ca.wikipedia.org/wiki/Arnau_Mir_de_Tost</t>
  </si>
  <si>
    <t>Lupe</t>
  </si>
  <si>
    <t>Es una misión para @Santi_ABASCAL #operaciónrevenge RT @fifimadrid: British supermarket @Morrisons is launching the ultimate Christmas treat (apparently): Cheesy churros with tomato and red pepper sauce for dipping. Wait until Spain hears about this...</t>
  </si>
  <si>
    <t>Flor María Fernández</t>
  </si>
  <si>
    <t>de aquí, de Madrí</t>
  </si>
  <si>
    <t>Foto freelance. JotDown, El País Semanal, Yo Dona y + | Aut Caesar aut nihil | hello@lupedelavallina.com | http://vimeo.com/60900702 | insta: @lupedelavallina</t>
  </si>
  <si>
    <t>http://lupedelavallina.com</t>
  </si>
  <si>
    <t>Asturias ,Aviles.</t>
  </si>
  <si>
    <t>ESPAÑOLA. ASTURIANA DE AVILÉS.CATOLICA. ORGULLOSA DE SER ESPAÑOLA.</t>
  </si>
  <si>
    <t>Enrique Santiago Secretario General del PCE dice en entrevista al periódico Granma Cuba es el único país de América donde la población tiene garantizados plenamente todos sus derechos. @FJL_EsRadio @Ortega_Smith @Santi_ABASCAL @monasterioR VIVA VOX VOTO VOX POR UNA ESPAÑA VIVA</t>
  </si>
  <si>
    <t>Lo de Gibraltar lo arreglan @JosepBorrellF y @Santi_ABASCAL En 321...</t>
  </si>
  <si>
    <t>pic.twitter.com/y4PH3OPMYD</t>
  </si>
  <si>
    <t>Titular equivocado. Debería ser: "El @PPopular copia los mensajes de @vox_es y @Santi_ABASCAL de “la España que madruga”. Vox lleva diciendo el mismo discurso desde que nació. El PP ahora está acojonado, pero luego se arrodilla al Zapaterismo.</t>
  </si>
  <si>
    <t>https://elpais.com/politica/2018/11/22/actualidad/1542844409_768373.html</t>
  </si>
  <si>
    <t>Nihilista Incongruente</t>
  </si>
  <si>
    <t>Cada vez son mas las sospechas que @BertinOsborne y @Santi_ABASCAL mean sentados. Por un fascismo limpio.</t>
  </si>
  <si>
    <t>Centro de desintoxicacion mas cercano. Lata de Steinburg a euro.</t>
  </si>
  <si>
    <t>Pregoner Sant Esteve de les Roures</t>
  </si>
  <si>
    <t>Que mal día para @Santi_ABASCAL May advierte a España: "Protegeré la soberanía británica de Gibraltar"  Enviado desde @updayESP</t>
  </si>
  <si>
    <t>https://amp.elmundo.es/internacional/2018/11/22/5bf6b01b468aeb352a8b463a.html</t>
  </si>
  <si>
    <t>Sant Esteve de les Roures, CAT</t>
  </si>
  <si>
    <t>Comunicats a viva veu</t>
  </si>
  <si>
    <t>Maturum 🇪🇸</t>
  </si>
  <si>
    <t>La gran diferencia es que las promesas de @pablocasado_ son mentira y las de @Santi_ABASCAL son verdad. RT @el_pais: Pablo Casado y Santiago Abascal se dirigen al mismo electorado, "la España de los balcones", con mensajes más parecidos según avanza la campaña andaluza</t>
  </si>
  <si>
    <t>https://twitter.com/el_pais/status/1065628494057615360
http://ow.ly/4vE930mItMl</t>
  </si>
  <si>
    <t>Santa Cruz de Tenerife</t>
  </si>
  <si>
    <t>Músico y fotógrafo aficionado. Español, hetero, blanco y liberal-conservador. Lo sé; ¡estoy jodido!.</t>
  </si>
  <si>
    <t>http://www.flickr.com/photos/maduroman/</t>
  </si>
  <si>
    <t>Ateo consecuente</t>
  </si>
  <si>
    <t>Dice @Santi_ABASCAL que él participó en la Reconquista con otros españoles. A un tipo que ha cabalgado con el Cid no queda sino votarle. RT @vox_es: 📹 VOX habla claro sobre todo lo que preocupa a los españoles, también sobre el fundamentalismo: ✅ Cierre de mezquitas fundamentalistas. ✅ Expulsión de imanes que propaguen la yihad. ✅ Ilegalizar la financiación por terceros países de lugares de culto en suelo español. 📢 RT</t>
  </si>
  <si>
    <t>GRAAN IN ASS EN ONAFHANKLIKE</t>
  </si>
  <si>
    <t>Si estornudo, decid SALUD.</t>
  </si>
  <si>
    <t>TABARNIA</t>
  </si>
  <si>
    <t>Las leyes se pueden cambiar.Pero si no las respetas,no esperes que te respete yo a ti.</t>
  </si>
  <si>
    <t>VOX Córdoba</t>
  </si>
  <si>
    <t>Que no le quepa duda a nadie 📣 "Vamos a combatir a todos aquellos que quieren convertir en una mezquita la Catedral de Córdoba" @VoxCordoba @Santi_ABASCAL #AndalucíaPorEspaña #VotaVOX #2D</t>
  </si>
  <si>
    <t>https://pbs.twimg.com/media/DsnhMBiXoAAKH_3.jpg</t>
  </si>
  <si>
    <t>info@cordoba.voxespana.es</t>
  </si>
  <si>
    <t>La alternativa de los VALORES, el partido de los VALIENTES. Únete a VOX. http://voxespana.es</t>
  </si>
  <si>
    <t>http://www.voxespana.es/cordoba</t>
  </si>
  <si>
    <t>Miguel Angel</t>
  </si>
  <si>
    <t>Me ha gustado un vídeo de @YouTube ( - Santi Abascal con Jordi, follonero, en el bar de Salvador Monedero).</t>
  </si>
  <si>
    <t>http://youtu.be/vCzgGgIgofk?a</t>
  </si>
  <si>
    <t>Barcelona, España</t>
  </si>
  <si>
    <t>Toledo, Castilla-La Mancha</t>
  </si>
  <si>
    <t>http://mercadosostenible.com/</t>
  </si>
  <si>
    <t>Caso Aislado</t>
  </si>
  <si>
    <t>Sergei L. Brandoni</t>
  </si>
  <si>
    <t>El otro día decía alguien que a @Santi_ABASCAL no le gustaba la monarquía. RT @Santi_ABASCAL: ¿Que para qué sirve la Monarquía? Para que alguien como tú, Pablo Mezquitas, devorado por el odio y la ambición, e impulsado por los irresponsables oligarcas de El País, no alcance nunca la jefatura del Estado. Solo por eso, ¡Viva el Rey!</t>
  </si>
  <si>
    <t xml:space="preserve">España </t>
  </si>
  <si>
    <t>Cuenta oficial de @CasoAislado_es. Medio independiente.</t>
  </si>
  <si>
    <t>http://www.casoaislado.com</t>
  </si>
  <si>
    <t>Ferrol</t>
  </si>
  <si>
    <t>Ferrolano., español, católico y soñador. https://www.facebook.com/profile.php?id=100007909083442</t>
  </si>
  <si>
    <t>https://niebladebrandoni.blogspot.com.es/?m=1</t>
  </si>
  <si>
    <t>Lo que hay es cambiar toda la Ley Electoral para que 1 voto de Bilbao o de Gerona valga lo mismo que un voto de Murcia y entren partidos demócratas como @vox_es @Santi_ABASCAL @Albert_Rivera propondrá que los nacionalistas tengan un 3% para  vía @elmundoes</t>
  </si>
  <si>
    <t>https://twitter.com/ZacEfron/status/1064991224044707841</t>
  </si>
  <si>
    <t>https://www.elmundo.es/espana/2018/11/22/5bf6a067e5fdea356f8b4633.html</t>
  </si>
  <si>
    <t>https://pbs.twimg.com/media/Dseb3ywUUAA7Nkc.jpg</t>
  </si>
  <si>
    <t>Euskal Herria</t>
  </si>
  <si>
    <t>Juan E. Pflüger</t>
  </si>
  <si>
    <t>.@vox_es será decisivo en Ceuta al convertirse en tercera fuerza política en la ciudad autónoma castigada por los asaltos masivos de inmigrantes ilegales. @Santi_ABASCAL sigue representando a la #EspañaViva</t>
  </si>
  <si>
    <t>https://pbs.twimg.com/media/DsnahdEWkAIolWI.jpg</t>
  </si>
  <si>
    <t>Madrid - España</t>
  </si>
  <si>
    <t>Director de El Correo de Madrid @Correodemadrid Historiador y periodista Mi blog: LOS CRÍMENES DEL COMUNISMO.</t>
  </si>
  <si>
    <t>http://www.elcorreodemadrid.com</t>
  </si>
  <si>
    <t>https://twitter.com/zacefron/status/1064991224044707841</t>
  </si>
  <si>
    <t>Más influyentes ahora en Derecha/Centro Dcha.: ➀ @Alvisepf ↓ ➁ @ldpsincomplejos ↑↑ ➂ @Desayunos_tve ↑ ➃ @Albert_Rivera ↑ ➄ @rosadiezglez ↑ ➅ @Santi_ABASCAL ↑ ➆ @carmelojorda ↓ ➇ @CiudadanosCs ↑ ➈ @javiernegre10 ↑</t>
  </si>
  <si>
    <t>Felipe Ollero</t>
  </si>
  <si>
    <t>Santi abascal: izquierda: FASCISTA FACHA MOUNSTRO ANIMAL Rufián: Le tienen que echar del congreso con 36 años por chulo vacilón y pasota izquierda:</t>
  </si>
  <si>
    <t>Pto de Sta María</t>
  </si>
  <si>
    <t>Amante del deporte y de la musica/ Kalypto</t>
  </si>
  <si>
    <t>FM. 🇪🇸</t>
  </si>
  <si>
    <t>A quién votarías en las elecciones de Andalucia del próximo 2 de diciembre? @AbeInfanzon @hermanntertsch @JOSEMANUELSOTO1 @kastillo62 @Santi_ABASCAL @PerdigueroSIPEp @Ortega_Smith @rosadiezglez @CristinaSegui_ @PSOE @PPopular @CiudadanosCs @ahorapodemos @vox_es #FelizJueves</t>
  </si>
  <si>
    <t>España es el país más fuerte del mundo, lleva siglos tratando de autodestruirse y no lo han conseguido,el día q dejen de intentarlo,será la vanguardia del mundo</t>
  </si>
  <si>
    <t>https://pbs.twimg.com/media/DsnTWYUXcAA42CS.png</t>
  </si>
  <si>
    <t>ADELANTE ANDALUCES, ADELANTE ESPAÑOLES AL CUADRADO, ANDALUCIA POR ESPAÑA @pablocasado_ @ierrejon @PPdeSevilla @PPMalaga @ppcordobayto @pp_cordoba @Santi_ABASCAL @monasterioR @vox_granada @VOXSevilla @vox_malaga @Juan_A_Morales #EleccionesAndaluzas #VOXGanaAndalucia RT @Santi_ABASCAL: ¿Que para qué sirve la Monarquía? Para que alguien como tú, Pablo Mezquitas, devorado por el odio y la ambición, e impulsado por los irresponsables oligarcas de El País, no alcance nunca la jefatura del Estado. Solo por eso, ¡Viva el Rey!</t>
  </si>
  <si>
    <t>Allende Martín</t>
  </si>
  <si>
    <t>Demostración del #Marketingpolítico de los candidatos #EleccionesAndaluzas: @vox_es, @Santi_ABASCAL @alanamoceri, @compolitica, @SoyCibelino</t>
  </si>
  <si>
    <t>https://www.elespanol.com/espana/politica/20181113/morante-puebla-hombre-detras-video-vox-caballo/352715676_0.html</t>
  </si>
  <si>
    <t>#RelacionesInstitucionales, #ComunicaciónCorporativa, #PublicAffairs, #Compol #Política, @PanEuropa_Es y Cofundadora de @Forocompol</t>
  </si>
  <si>
    <t>http://forocompol.com</t>
  </si>
  <si>
    <t>Oye @Santi_ABASCAL ... ¿ Has visto lo que hace este chavaluco discapacitado ? ... a eso se LE LLAMA TRABAJAR ... sabes lo que es eso ? - En las #EleccionesYa dirás a tus votantes de tu @vox_es dónde has trabajado ? para quien? cuando? dónde ? @dehesas1959</t>
  </si>
  <si>
    <t>https://www.facebook.com/173922073298195/videos/199989814024754/?t=27</t>
  </si>
  <si>
    <t>Más influyentes ahora en Derecha/Centro Dcha.: ➀ @Desayunos_tve ↓ ➁ @Alvisepf ↑ ➂ @Albert_Rivera ↑ ➃ @carmelojorda ↓ ➄ @5chuspis ↓ ➅ @rosadiezglez ↓ ➆ @javiernegre10 ↓ ➇ @Cs_Madrid ↑ ➈ @Santi_ABASCAL ↓</t>
  </si>
  <si>
    <t>Sergi Àlex</t>
  </si>
  <si>
    <t>No nos merecemos a estos políticos que insultan y se mofan de otros representantes políticos. La política consiste en argumentar, no en insultar @Santi_ABASCAL RT @Santi_ABASCAL: ¿Que para qué sirve la Monarquía? Para que alguien como tú, Pablo Mezquitas, devorado por el odio y la ambición, e impulsado por los irresponsables oligarcas de El País, no alcance nunca la jefatura del Estado. Solo por eso, ¡Viva el Rey!</t>
  </si>
  <si>
    <t>Barcelona</t>
  </si>
  <si>
    <t>1997. MR Exclusiva. Estudiante de periodismo. Organizador del #TorneoExclusivas Claret / URL Blanquerna. Escribo en @sextoanillo @TimeJustOficial @CopaColegial</t>
  </si>
  <si>
    <t>http://l.facebook.com/l.php?u=http%3A%2F%2Fsergialex53.wix.com%2Fsvclaret1415&amp;h=sAQE5L46l&amp;s=1</t>
  </si>
  <si>
    <t>Un Vampiro Andalú</t>
  </si>
  <si>
    <t xml:space="preserve">Transilvania </t>
  </si>
  <si>
    <t>Soy de los que ven el vaso medio lleno si es de agua y medio vacío si es de cerveza. Hombre lobo, Momia, a ver si nos vemos ¡cabrones!</t>
  </si>
  <si>
    <t>¿Cómo no va a querer la gente a @vox_es y a su Presidente @Santi_ABASCAL ? No hay un solo político en España, salvo los d VOX, capaces de hablar así de claro, desafiando riesgos y corrección política. ESTO NO ES NI MACHISMO NI XENOFOBIA. ESTO ES VALOR</t>
  </si>
  <si>
    <t>FAC</t>
  </si>
  <si>
    <t>Nuestra campaña #LaCazaTambiénVota sigue poniendo la caza en boca de políticos de todos los partidos. Ayer @Santi_ABASCAL trasladó el “apoyo sin fisuras” de @vox_es a nuestra actividad.</t>
  </si>
  <si>
    <t>http://ow.ly/hVkR30mIa96</t>
  </si>
  <si>
    <t>https://youtu.be/zjWSD1YYrQ8</t>
  </si>
  <si>
    <t>https://pbs.twimg.com/media/DsmAG04W0AED2x8.jpg</t>
  </si>
  <si>
    <t>Archidona</t>
  </si>
  <si>
    <t>La Federación Andaluza de Caza es el órgano de representación de la caza social en Andalucía con más de 110.000 cazadores andaluces afiliados</t>
  </si>
  <si>
    <t>http://www.fac.es</t>
  </si>
  <si>
    <t>✝ ن McShane</t>
  </si>
  <si>
    <t>Si los #zurdos #Leftists te dicen facho, envíenlos a mirar el excelente documental #DeathOfANation y ahi verán realmente quienes son los fachos. @AgustinLaje @Santi_ABASCAL @NickyMarquez1</t>
  </si>
  <si>
    <t>🇦🇷🇮🇹 Catholic - ProLife - ProFamily - AntiZurdos, Peronistas, Feminazis y Lobby LGTB. "Father, forgive them, for they don't know what they are doing."</t>
  </si>
  <si>
    <t>Madrid - Spain</t>
  </si>
  <si>
    <t>NUEVAMENTE PABLO CASADO PROMETE QUE HAY QUE CAMBIAR MUCHO PARA CONTINUAR SIENDO LO MISMO. @pablocasado_ @ppandaluz @PPSevillaDipu @PPdeSevilla @ConPPCordoba @Santi_ABASCAL @monasterioR @vox_malaga @VoxCordoba @VOXSevilla @VOX_Jaen @vox_granada @vox_es #AndaluciaPorEspaña RT @Juan_A_Morales: ¡¡INCREIBLE: Teniendo Mayoría el @PPopular y @CiudadanosCs se abstienen para que gane la izquierda…!!. 😳😳 Se creen que Absteniéndose no les van a llamar “Franquistas”. 👉 Se equivocan, se lo van a seguir llamando, pero además de “Traidores…”. 🇪🇸</t>
  </si>
  <si>
    <t>https://twitter.com/juan_a_morales/status/1065485270429118466
https://www.eldiario.es/politica/PP-Ciudadanos-condenar-franquismo-Senado_0_838166777.html</t>
  </si>
  <si>
    <t>AL DOCTOR #CUMFRAUDE LE ENCANTAN LOS DICTADORES DE IZQUIERDAS Raúl Castro y Díaz-Canel serán llevados ante el Tribunal Penal Internacional por crímenes de lesa humanidad  @Santi_ABASCAL @monasterioR @CasaReal @GeneralDavila @Ortega_Smith @GirautaOficial</t>
  </si>
  <si>
    <t>https://www.libertaddigital.com/internacional/latinoamerica/2018-11-21/raul-castro-y-diaz-canel-seran-llevados-ante-el-tribunal-penal-internacional-por-crimenes-de-lesa-humanidad-1276628626/</t>
  </si>
  <si>
    <t>Maby</t>
  </si>
  <si>
    <t>" @Santi_ABASCAL: "Los primates de ERC no deberían estar en el Congreso. Hay que ilegalizar las organizaciones golpistas"</t>
  </si>
  <si>
    <t>En algún lugar...</t>
  </si>
  <si>
    <t>La curiosidad mató al gato... Pero murió sabiendo.!!!</t>
  </si>
  <si>
    <t>Más comentados ahora en Derecha/Centro Dcha.: ➀ @sanchezcastejon ↓ ➁ @Desayunos_tve ↑ ➂ @gabrielrufian ↑ ➃ @Alvisepf ➄ @carmelojorda ↓ ➅ @5chuspis ↓ ➆ @Santi_ABASCAL ↓ ➇ @rosadiezglez ↓ ➈ @PPopular ↑ ➉ @Nanchinho ↑</t>
  </si>
  <si>
    <t>Las voces más sensatas piden la expulsión de los diputados de ERC y de los independentistas del Congreso de los Diputados. @Santi_ABASCAL, presidente de @vox_es califica de "primates" a Rufián y compañía.</t>
  </si>
  <si>
    <t>Más influyentes ahora en Derecha/Centro Dcha.: ➀ @Desayunos_tve ↓ ➁ @Alvisepf ↓ ➂ @carmelojorda ↓ ➃ @5chuspis ↓ ➄ @rosadiezglez ↓ ➅ @Santi_ABASCAL ↓ ➆ @Nanchinho ↑ ➇ @javiernegre10 ↑ ➈ @monasterioR ↑ ➉ @Albert_Rivera ↓</t>
  </si>
  <si>
    <t>NO TIENE NADA QUE VER CON LA ANTIDEMOCRÁTICA BARRERA DEL 3%, QUE QUIERE, POR INTERESES PARTIDISTAS Rivera, sobre Rufián y Borrell: "A Sánchez se le ha ido el Gobierno Frankenstein de las manos"  @Santi_ABASCAL @monasterioR @GeneralDavila @Ortega_Smith</t>
  </si>
  <si>
    <t>https://www.libertaddigital.com/espana/2018-11-22/rivera-sobre-rufian-y-borrell-a-sanchez-se-le-ha-ido-el-gobierno-frankenstein-de-las-manos-1276628665/</t>
  </si>
  <si>
    <t>Más comentados ahora en Derecha/Centro Dcha.: ➀ @sanchezcastejon ↓ ➁ @Desayunos_tve ↓ ➂ @Alvisepf ↓ ➃ @carmelojorda ↑↑ ➄ @gabrielrufian ↓ ➅ @Albert_Rivera ↓ ➆ @Santi_ABASCAL ↑ ➇ @5chuspis ↑ ➈ @rosadiezglez ↓</t>
  </si>
  <si>
    <t>Más influyentes ahora en Derecha/Centro Dcha.: ➀ @Desayunos_tve ↑ ➁ @Alvisepf ↓ ➂ @carmelojorda ↑↑ ➃ @Santi_ABASCAL ↑ ➄ @Albert_Rivera ↓ ➅ @5chuspis ↑ ➆ @rosadiezglez ↓ ➇ @javiernegre10 ↓ ➈ @hermanntertsch ↑</t>
  </si>
  <si>
    <t>🇪🇸✌️ #FelizJueves Por #EspañaViva por #NuestroFuturo tenemos la solución con #VotaVOX @Santi_ABASCAL RT @luisesel: ¡Vamos valientes! ¡Dad un paso al frente! ¡La recompensa merecerá la pena! Una #EspanaViva libre y fuerte, sin concesiones a lo políticamente correcto, sin traidores ni enemigos. Cada hay menos huecos sin cubrir por el color verde de la esperanza. ¡Animo @vox_es ! #VOXAvanza</t>
  </si>
  <si>
    <t>https://twitter.com/luisesel/status/1065574035256459264</t>
  </si>
  <si>
    <t>https://pbs.twimg.com/media/Dsmt7tYWwAATgt5.jpg</t>
  </si>
  <si>
    <t>Cris 🎗</t>
  </si>
  <si>
    <t>Donald Tusk envía el borrador de la Declaración en la Futura Relación entre la UE y Reino Unido. 26 páginas y cero menciones a Gibraltar. Cero. Nusé @Santi_ABASCAL yo enviaría los tercios de Flandes. Están ninguneando España. 🍿</t>
  </si>
  <si>
    <t>Procrastinadora nivel experto. Queriendo ser República hemos aprendido a ser pueblo</t>
  </si>
  <si>
    <t>Joan-Marc</t>
  </si>
  <si>
    <t>Qué tristeza! España no se merece esto. @voxnoticias_es @hisomatemps @Santi_ABASCAL @Ortega_Smith @policia RT @CiudadanosCs: 📽 @Albert_Rivera "Es una vergüenza la actitud de ciertos grupos parlamentarios. Proponemos un cambio en la ley electoral que establezca como barrera conseguir un 3% de los votos a nivel nacional para acceder al Congreso" #LosDesayunos</t>
  </si>
  <si>
    <t>https://twitter.com/ciudadanoscs/status/1065536686845759489</t>
  </si>
  <si>
    <t>pic.twitter.com/CQPTeuMzVI</t>
  </si>
  <si>
    <t>Empresario de ALOEFOREVER</t>
  </si>
  <si>
    <t>http://www.aloeforever.info</t>
  </si>
  <si>
    <t>¿Que para qué sirve la Monarquía? Para que alguien como tú, Pablo Mezquitas, devorado por el odio y la ambición, e impulsado por los irresponsables oligarcas de El País, no alcance nunca la jefatura del Estado. Solo por eso, ¡Viva el Rey!</t>
  </si>
  <si>
    <t>https://elpais.com/elpais/2018/11/21/opinion/1542806031_921444.html</t>
  </si>
  <si>
    <t>Intransigente 11/06</t>
  </si>
  <si>
    <t>Europa Press Galicia</t>
  </si>
  <si>
    <t>El @ppdegalicia se defiende de las críticas de Vox en Twitter por la iniciativa sobre el uniforme: "Las alumnas tendrán libertad" @Santi_ABASCAL</t>
  </si>
  <si>
    <t>https://www.europapress.es/galicia/noticia-ppdeg-defiende-criticas-vox-twitter-iniciativa-uniforme-alumnas-tendran-libertad-20181122123740.html</t>
  </si>
  <si>
    <t>Galicia</t>
  </si>
  <si>
    <t>Twitter oficial de la agencia de noticias Europa Press Galicia</t>
  </si>
  <si>
    <t>http://www.europapress.es/galicia/</t>
  </si>
  <si>
    <t>Metropolitana de Santiago, Chi</t>
  </si>
  <si>
    <t>Justicia y verdad histórica, volver a nuestros orígenes, honrando a nuestros ancestros, para unirnos y avanzar juntos hacia el futuro. Viva la cultura Hispana❌.</t>
  </si>
  <si>
    <t>Ikusle</t>
  </si>
  <si>
    <t>EXCLUSIVA. Vox superaría el 3% de votos en Álava y obtendría un juntero y un diputado  @Santi_ABASCAL @ortega_smith @monasterioR</t>
  </si>
  <si>
    <t>http://www.ikusle.com/exclusiva-vox-superaria-3-votos-araba-obtendria-juntero-diputado/</t>
  </si>
  <si>
    <t>Euskadi</t>
  </si>
  <si>
    <t>Última hora y noticias de Euskadi, España e internacional. Facebook http://facebook.com/ikusle Vídeos y audios @ikuslemedia Radio en directo http://ikusle.com/directo</t>
  </si>
  <si>
    <t>http://www.ikusle.com</t>
  </si>
  <si>
    <t>BUENOS DÍAS A TODOS LOS ESPAÑOLES DE BIEN QUE VOTARÁN AL GRAN @Santi_ABASCAL DE @vox_es</t>
  </si>
  <si>
    <t>https://pbs.twimg.com/media/DsmlHBaWsAUAF61.jpg</t>
  </si>
  <si>
    <t>José Vidal Ruiz</t>
  </si>
  <si>
    <t>Buenos Días Rosa. Sigue pensando que es su rival Político despreciando a @Albert_Rivera y @Santi_ABASCAL Sólo interesan los Votos ...al Ciudadano de Pié , que le dén. No hay más que ver que escupen a @JosepBorrellF y pasan. Recordemos tod@s " Amamos 🇪🇸 porque no nos gusta " RT @rosadiezglez: Tremendo. Al PSOE le escupe ERC y carga contra el PP . Hay que estar muy mal, pero que muy mal.</t>
  </si>
  <si>
    <t>https://twitter.com/rosadiezglez/status/1065305148321349632</t>
  </si>
  <si>
    <t>Profesor de Big Data y Desarrollo Cognitivo. Licenciado en Matemáticas Fundamentales. admin@fasesdelabolsa.net + 34 692028934. Borré mi CV anterior, era pasado.</t>
  </si>
  <si>
    <t>http://fasesdelabolsa.net</t>
  </si>
  <si>
    <t>Más influyentes ahora en Derecha/Centro Dcha.: ➀ @Alvisepf ↑ ➁ @Desayunos_tve ↑ ➂ @Albert_Rivera ↓ ➃ @rosadiezglez ↓ ➄ @javiernegre10 ↓ ➅ @Santi_ABASCAL ↓ ➆ @carrizosacarlos ↑ ➇ @FroilLannister ↓ ➈ @5chuspis ↑</t>
  </si>
  <si>
    <t>QUE LE PAGAMOS ENTRE LOS QUE NO LLEGAN NI A 1000 EUROS POR INSULTAR Y CALUMNIAR EN LAS CORTES.. POR FAVOR TODA ESPAÑA A VOTAR @Santi_ABASCAL</t>
  </si>
  <si>
    <t>https://www.esdiario.com/461354969/La-expulsion-de-Gabriel-Rufian-destapa-su-escandalosa-nomina-de-.000-euros.html</t>
  </si>
  <si>
    <t>Madrid, España</t>
  </si>
  <si>
    <t>Un extraordinario artículo de mi querido amigo y compañero Vicente Jiménez @Parnasillo humilde pero valiosísimo militante de @vox_es @Alternativa_VOX @madrid_vox @voxnoticias_es @VOX_Alcala @Santi_ABASCAL @Ortega_Smith @monasterioR @vox_barcelona @demiguel2017 RT @Parnasillo: @AzoteCasta @Santi_ABASCAL VOX se opone a neo-fascistas y la extrema izquierda</t>
  </si>
  <si>
    <t>https://twitter.com/Parnasillo/status/1065550241229938688
https://www.infohispania.es/vox-se-opone-a-neo-fascistas-y-la-extrema-izquierda/</t>
  </si>
  <si>
    <t>Lorena G. Maldonado</t>
  </si>
  <si>
    <t>Estuve charlando con Ana Belén sobre progres de izquierda, boicots españolistas y feminismo. Y le baja los humitos a @Santi_ABASCAL: "¿Vox llenando Vistalegre? Vistalegre lo he llenado hasta yo"</t>
  </si>
  <si>
    <t>https://www.elespanol.com/cultura/musica/20181122/ana-belen-vox-llenando-vistalegre-llenado/354965468_0.html</t>
  </si>
  <si>
    <t>Málaga-Madrid</t>
  </si>
  <si>
    <t>1991. Periodista [cultural], no hagiógrafa. Cuéntame cosas: lorena.gomez@elespanol.com</t>
  </si>
  <si>
    <t>JC.Rodriguez.Navarro</t>
  </si>
  <si>
    <t>🔴COSAS QUE NO SE DEBEN OLVIDAR, NI PERDONAR. @vox_es @VOX_Jaen @Santi_ABASCAL @Ortega_Smith @salud_anguita</t>
  </si>
  <si>
    <t>https://pbs.twimg.com/media/DsmZvcAXcAEA09B.jpg</t>
  </si>
  <si>
    <t>Santo Tome  ( Jaén)</t>
  </si>
  <si>
    <t>Emprendedor en el sector de la madera. Emigrante retornado, avergonzado de ver, a su País destrozado, corrupto por una casta política mediocre y sin Justicia.</t>
  </si>
  <si>
    <t>Más comentados ahora en Derecha/Centro Dcha.: ➀ @sanchezcastejon ↓ ➁ @Desayunos_tve ↓ ➂ @Alvisepf ↓ ➃ @gabrielrufian ↓ ➄ @Albert_Rivera ↑ ➅ @Santi_ABASCAL ↑ ➆ @rosadiezglez ↓ ➇ @javiernegre10 ↓ ➈ @guardiacivil ↑</t>
  </si>
  <si>
    <t>Córdoba, España</t>
  </si>
  <si>
    <t>Más influyentes ahora en Derecha/Centro Dcha.: ➀ @Desayunos_tve ↓ ➁ @Alvisepf ↓ ➂ @Albert_Rivera ↑ ➃ @Santi_ABASCAL ↑ ➄ @rosadiezglez ↓ ➅ @javiernegre10 ↓ ➆ @Nanchinho ↑ ➇ @monasterioR ↓ ➈ @carmelojorda ↑</t>
  </si>
  <si>
    <t>Jeeeeesus✯</t>
  </si>
  <si>
    <t>Preparándose para la carrera contra @Santi_ABASCAL RT @ZacEfron: Mi nueva amiga Amapola 🐎</t>
  </si>
  <si>
    <t>In the purest strain of Hate</t>
  </si>
  <si>
    <t>❤💛💜 Think, It's Illegal 🇵🇸</t>
  </si>
  <si>
    <t>Más comentados ahora en Derecha/Centro Dcha.: ➀ @sanchezcastejon ↓ ➁ @Albert_Rivera ↓ ➂ @gabrielrufian ↓ ➃ @Santi_ABASCAL ↓ ➄ @rosadiezglez ↑ ➅ @Alvisepf ↑ ➆ @FroilLannister ↑ ➇ @javiernegre10 ↑ ➈ @Societatcc ↓</t>
  </si>
  <si>
    <t>Más influyentes ahora en Derecha/Centro Dcha.: ➀ @Albert_Rivera ↓ ➁ @Santi_ABASCAL ↓ ➂ @rosadiezglez ↑ ➃ @Alvisepf ↑ ➄ @FroilLannister ↑ ➅ @javiernegre10 ↑ ➆ @Societatcc ↓ ➇ @monasterioR ↑ ➈ @JosPastr ↓</t>
  </si>
  <si>
    <t>Prometheus</t>
  </si>
  <si>
    <t>¿Os imagináis la reacción de @Santi_ABASCAL si un diputado de ERC trata de espupirle en el Congreso?</t>
  </si>
  <si>
    <t>Cataluña</t>
  </si>
  <si>
    <t>Español. En la resistencia.</t>
  </si>
  <si>
    <t>Más comentados ahora en Derecha/Centro Dcha.: ➀ @sanchezcastejon ↑ ➁ @Alvisepf ↓ ➂ @gabrielrufian ↓ ➃ @rosadiezglez ↑ ➄ @Santi_ABASCAL ↑ ➅ @Societatcc ↓ ➆ @guardiacivil ↑↑↑ ➇ @javiernegre10 ↑ ➈ @JosPastr ↑</t>
  </si>
  <si>
    <t>Más influyentes ahora en Derecha/Centro Dcha.: ➀ @Alvisepf ↓ ➁ @rosadiezglez ↑ ➂ @Santi_ABASCAL ↑ ➃ @Societatcc ↓ ➄ @javiernegre10 ↑ ➅ @JosPastr ↑ ➆ @FroilLannister ↓ ➇ @Anonymus_ES ↑ ➈ @carrizosacarlos ↑</t>
  </si>
  <si>
    <t>Diario Balear</t>
  </si>
  <si>
    <t>👉🏻Un “sanchismo” sin poder ni honor: El PSOE deja solo a Borrell ante los enemigos de España  @ERIKEO5555 @GomaMariano @gsampolfer @paatri_guerrero @jcamposasensi @Santi_ABASCAL @MMContesti @angelmigeva @angelmigeva @rhg_cat</t>
  </si>
  <si>
    <t>https://www.diaribalear.es/un-sanchismo-sin-poder-ni-honor-el-psoe-deja-solo-a-borrell-ante-los-enemigos-de-espana/</t>
  </si>
  <si>
    <t>Palma de Mallorca</t>
  </si>
  <si>
    <t>Somos diferentes, somos de aquí</t>
  </si>
  <si>
    <t>https://www.diaribalear.es</t>
  </si>
  <si>
    <t>Emilio Gimeno</t>
  </si>
  <si>
    <t>Parece un artículo de @Santi_ABASCAL. Me encanta!!</t>
  </si>
  <si>
    <t>https://pbs.twimg.com/media/Dsl0HMdXoAEFNqi.jpg</t>
  </si>
  <si>
    <t>Reino de Valencia, ESPAÑA</t>
  </si>
  <si>
    <t>Orgulloso español, privilegiado de ser valenciano y fallero por vocación. Adoro Valencia y nuestra forma de ser.</t>
  </si>
  <si>
    <t>Nieva</t>
  </si>
  <si>
    <t>Dedicado a aquellos que nos desgobiernan dando un espectaculo dantesco, conflictivo, ridículo mientras dejan patente su incompetencia. @PSOE @gabrielrufian @ahorapodemos @PPopular . Por favor @Santi_ABASCAL gana las elecciones.</t>
  </si>
  <si>
    <t>https://youtu.be/Q8B3HR_0YzE</t>
  </si>
  <si>
    <t>Doctora, Profesora Universitaria, Directora de Máster, Investigadora en relaciones internacionales.Si quieres hacer reir a Dios,cuentale tus planes.</t>
  </si>
  <si>
    <t>Más comentados ahora en Derecha/Centro Dcha.: ➀ @sanchezcastejon ↓ ➁ @gabrielrufian ↑↑ ➂ @rosadiezglez ↑ ➃ @Santi_ABASCAL ↑ ➄ @FroilLannister ↑↑ ➅ @javiernegre10 ↑↑ ➆ @PSOE ↓ ➇ @JosPastr ↑↑ ➈ @carmelojorda ↑↑</t>
  </si>
  <si>
    <t>Más influyentes ahora en Derecha/Centro Dcha.: ➀ @rosadiezglez ↑↑ ➁ @Santi_ABASCAL ↑↑ ➂ @FroilLannister ↑↑ ➃ @javiernegre10 ↑↑ ➄ @JosPastr ↑↑ ➅ @carmelojorda ↑↑ ➆ @carrizosacarlos ↑ ➇ @dlacalle ↑↑ ➈ @Alvisepf ↓</t>
  </si>
  <si>
    <t>VOX 🇪🇸</t>
  </si>
  <si>
    <t>Juan Luis Vicente</t>
  </si>
  <si>
    <t>Atención a lo que puede estar sucediendo en Andalucía. @PerezMaura @hermanntertsch @carloscuestaEM @diegodelacruz @Santi_ABASCAL @CristinaSegui_ @thecentenator @monasterioR @ivanedlm @Ortega_Smith RT @manuperez2002: Me parece raro que a menos de 15 días para votar, no he recibido mi tarjeta del censo electoral. Ahora leo esto y empiezo a atar cabos... Alguna explicación @AndaluciaJunta @PSOE Así también se empiezan a amañar elecciones.</t>
  </si>
  <si>
    <t>https://twitter.com/manuperez2002/status/1064935225812283394</t>
  </si>
  <si>
    <t>https://pbs.twimg.com/media/Dsdo7VSWwAczNNK.jpg</t>
  </si>
  <si>
    <t>Cuenta oficial de VOX #EspañaLoPrimero 📹 Suscríbete a nuestro canal de YouTube para no perderte ninguno de nuestros vídeos http://bit.ly/VOXYouTubex</t>
  </si>
  <si>
    <t>Analista independiente que publica sus comentarios personales sobre la actualidad económica y política.</t>
  </si>
  <si>
    <t>Más comentados ahora en Derecha/Centro Dcha.: ➀ @sanchezcastejon ↑↑ ➁ @rosadiezglez ↓ ➂ @Santi_ABASCAL ↑ ➃ @gabrielrufian ↑↑ ➄ @carrizosacarlos ↑↑ ➅ @javiernegre10 ↑ ➆ @JosPastr ↓ ➇ @dlacalle ↑ ➈ @carmelojorda ↑</t>
  </si>
  <si>
    <t>Más influyentes ahora en Derecha/Centro Dcha.: ➀ @rosadiezglez ↓ ➁ @Santi_ABASCAL ↑ ➂ @carrizosacarlos ↓ ➃ @javiernegre10 ↓ ➄ @JosPastr ↓ ➅ @carmelojorda ↑ ➆ @dlacalle ↑ ➇ @FroilLannister ↑ ➈ @jordi_canyas ↓</t>
  </si>
  <si>
    <t>Spain</t>
  </si>
  <si>
    <t>Cuanta razón tiene @vox_es y @Santi_ABASCAL (en el vídeo les falta decir que esta gente vota a Podemos y compañía para seguir a sus anchas) RT @Dan_Aeon: El impacto del Islam en España.</t>
  </si>
  <si>
    <t>https://twitter.com/dan_aeon/status/1065342194482057221</t>
  </si>
  <si>
    <t>pic.twitter.com/sxdGMckFfg</t>
  </si>
  <si>
    <t>¿ @pablocasado_ , esto es una broma o de verdad vais a empezar a decir a los colegios cómo tienen que ser los uniformes? ¿Os suena eso de la “libertad de los padres para elegir la educación de sus hijos”? Dejad a las familias y a los niños en paz. RT @elmundoes: Galicia prohibirá a colegios con uniforme que las niñas lleven falda por obligación</t>
  </si>
  <si>
    <t>https://twitter.com/elmundoes/status/1065289653098635267
https://trib.al/nF24Oh1</t>
  </si>
  <si>
    <t>Más comentados ahora en Derecha/Centro Dcha.: ➀ @sanchezcastejon ↑ ➁ @Santi_ABASCAL ↑ ➂ @gabrielrufian ↓↓↓ ➃ @javiernegre10 ↓ ➄ @carrizosacarlos ↓↓ ➅ @FroilLannister ↓↓ ➆ @rosadiezglez ↑ ➇ @MariaMonteroTFE ↑</t>
  </si>
  <si>
    <t>Más influyentes ahora en Derecha/Centro Dcha.: ➀ @Santi_ABASCAL ➁ @FroilLannister ↓↓ ➂ @rosadiezglez ↑ ➃ @carrizosacarlos ↑ ➄ @javiernegre10 ↑ ➅ @MariaMonteroTFE ↑ ➆ @JosPastr ↑ ➇ @Nanchinho ↑ ➈ @monasterioR ↑</t>
  </si>
  <si>
    <t>From 1879</t>
  </si>
  <si>
    <t>Podíamos mandar allí a Santi Abascal con su caballo para que comience la reconquista jajaja</t>
  </si>
  <si>
    <t>Posición de @vox_es en una entrevista a @Santi_ABASCAL sobre racismo</t>
  </si>
  <si>
    <t>https://youtu.be/NUqQdGC4AlM</t>
  </si>
  <si>
    <t>https://elpais.com/internacional/2018/11/21/mundo_global/1542806251_361993.html?id_externo_rsoc=FB_CM</t>
  </si>
  <si>
    <t>Socialista y feminista sin complejos.</t>
  </si>
  <si>
    <t>Trancius rancius</t>
  </si>
  <si>
    <t>Vamos a inventarnos un diálogo para esta foto @Santi_ABASCAL @vox_es</t>
  </si>
  <si>
    <t>https://pbs.twimg.com/media/DskopMRXgAEVfNK.jpg</t>
  </si>
  <si>
    <t>Oviedo-Xixón-Arroes-Grao</t>
  </si>
  <si>
    <t>🌰 Estudié filosofía y educación social. 🌰 Prensa-adicta, birróloga y discutidora turras. 🌰 Antimagufos 🌰 Potörhead. Monguer clothes.</t>
  </si>
  <si>
    <t>https://www.facebook.com/Pamiesadas-566209957080160/</t>
  </si>
  <si>
    <t>Más comentados ahora en Derecha/Centro Dcha.: ➀ @sanchezcastejon ↓ ➁ @gabrielrufian ↑ ➂ @rosadiezglez ↑ ➃ @JosPastr ↓ ➄ @carrizosacarlos ↓ ➅ @PSOE ↓ ➆ @InesArrimadas ↑ ➇ @javiernegre10 ↓ ➈ @Santi_ABASCAL ↑</t>
  </si>
  <si>
    <t>Más influyentes ahora en Derecha/Centro Dcha.: ➀ @rosadiezglez ↑ ➁ @JosPastr ↓ ➂ @carrizosacarlos ↓ ➃ @javiernegre10 ↓ ➄ @Santi_ABASCAL ↑ ➅ @jordi_canyas ↑ ➆ @FroilLannister ↓ ➇ @Anonymus_ES ↑ ➈ @Alvisepf ↑</t>
  </si>
  <si>
    <t>NUESTRO NUEVO DON PELAYO ES EL GRAN @Santi_ABASCAL</t>
  </si>
  <si>
    <t>https://pbs.twimg.com/media/DskdnXDX4AYvvGk.jpg</t>
  </si>
  <si>
    <t>Más comentados ahora en Derecha/Centro Dcha.: ➀ @sanchezcastejon ↑ ➁ @gabrielrufian ↓ ➂ @rosadiezglez ↓ ➃ @Santi_ABASCAL ↑ ➄ @MariaMonteroTFE ↓ ➅ @javiernegre10 ↓ ➆ @JosPastr ↑ ➇ @PSOE ➈ @carrizosacarlos ↓</t>
  </si>
  <si>
    <t>Más influyentes ahora en Derecha/Centro Dcha.: ➀ @rosadiezglez ↓ ➁ @Santi_ABASCAL ↑ ➂ @MariaMonteroTFE ↓ ➃ @javiernegre10 ➄ @JosPastr ↑ ➅ @carrizosacarlos ↓ ➆ @FroilLannister ↓ ➇ @jordi_canyas ↑ ➈ @Nanchinho ↓</t>
  </si>
  <si>
    <t>Puerroflauta 🌱</t>
  </si>
  <si>
    <t>Mi parte preferida de Animales Fantásticos 2 ha sido Jhonny Depp interpretando a @Santi_ABASCAL en el mitin de Vistalegre.</t>
  </si>
  <si>
    <t>Luis Sanders</t>
  </si>
  <si>
    <t>De verdad que los memes de Trump y Santi Abascal son lo mejor de esta vida</t>
  </si>
  <si>
    <t>jose luis</t>
  </si>
  <si>
    <t>En el fondo del Mar</t>
  </si>
  <si>
    <t>Soy un poco de todo y mucho de nada. Sin superar tus expectativas desde 1999. Ciencias Ambientales Usal, de momento. 🌳🏝🌺🐙</t>
  </si>
  <si>
    <t>Tamos a tope o no</t>
  </si>
  <si>
    <t>Oscampos</t>
  </si>
  <si>
    <t>Abasgorn, heredero de Francisildur, se dirije junto a sus aliados cortijeros al cortijo del elfo Bertín Osborne en Rivendel para decidir como destruir el bastón de mando de Susaron Díaz en los Montes de Sevilla @Santi_ABASCAL @vox_es RT @VOX_Getafe: ¡Andalucía por España!</t>
  </si>
  <si>
    <t>https://twitter.com/VOX_Getafe/status/1062031539649814529
https://eldebate.es/politica-de-estado/andalucia-por-espana-el-video-viral-de-abascal-y-morante-montando-a-caballo-20181112?utm_medium=social&amp;utm_source=twitter&amp;utm_campaign=shareweb&amp;utm_content=footer&amp;utm_origin=footer</t>
  </si>
  <si>
    <t>En mi mundo</t>
  </si>
  <si>
    <t>Funcionario del Ministerio de las Lentejas y las Croquetas de España (MLCE)</t>
  </si>
  <si>
    <t>Más comentados ahora en Derecha/Centro Dcha.: ➀ @sanchezcastejon ↑ ➁ @gabrielrufian ↑ ➂ @rosadiezglez ↑ ➃ @Santi_ABASCAL ↑ ➄ @javiernegre10 ↑ ➅ @PSOE ↑ ➆ @JosPastr ↓ ➇ @FroilLannister ↑ ➈ @MariaMonteroTFE ↑</t>
  </si>
  <si>
    <t>Más influyentes ahora en Derecha/Centro Dcha.: ➀ @rosadiezglez ↑ ➁ @Santi_ABASCAL ↑ ➂ @javiernegre10 ↑ ➃ @JosPastr ↓ ➄ @FroilLannister ↑ ➅ @MariaMonteroTFE ↑ ➆ @carrizosacarlos ↓ ➇ @Nanchinho ↑ ➈ @Anonymus_ES ↑</t>
  </si>
  <si>
    <t>Civis Rotam</t>
  </si>
  <si>
    <t>#EquiparacionYa para TODAS las policias👮‍♂️del Estado Español, ya sean por tierra, @policia 🚔 ,y @guardiacivil y👮‍♂️aire 🚁,ya sean sus puertos @PoliciAPB_SPPLB @SPPLBCADIZ @PoliciAPB_SPPLB así hasta las 28 Policias👮‍♂️Autoridades Portuarias🚢⚓. @vox_es @Santi_ABASCAL @Ortega_Smith RT @vox_es: 🚔 La gran familia de @jusapol sigue movilizándose en su lucha por la #EquiparacionYa está vez en Bruselas. 💪 Suerte en vuestro viaje, ¡pronto VOX podrá defender vuestra causa también desde el Parlamento Europeo! 📢 #BrusselsJusapol21N</t>
  </si>
  <si>
    <t>https://twitter.com/vox_es/status/1065263430871982080</t>
  </si>
  <si>
    <t>https://pbs.twimg.com/media/DsiTVAgWkAENMbg.jpg</t>
  </si>
  <si>
    <t>Las Sombras son tan importantes como la Luz.</t>
  </si>
  <si>
    <t>Pablo Galán García</t>
  </si>
  <si>
    <t>Un fascista @Albert_Rivera se balanceaba sobre sus escaño del Congreso, cómo veía que no sea caído fue a llamar a @pablocasado_ , dos fascistas se balanceaban sobre su escaño del Congreso, cómo veía que no se caían fueron a llamar a @Santi_ABASCAL...</t>
  </si>
  <si>
    <t>Valencia - Soria</t>
  </si>
  <si>
    <t>Dormilón profesional, loco de la música, librepensador y fallero. Campanero de Valencia, Levantinista. Enamorado de Soria. Siempre @LevanteUD y @cdnumancia.</t>
  </si>
  <si>
    <t>http://Instagram.com/noquemecanso</t>
  </si>
  <si>
    <t>https://www.elindependiente.com/politica/2018/11/16/unos-350-jovenes-participan-en-un-encuentro-abierto-con-preguntas-al-lider-de-vox-santiago-abascal-en-un-acto-en-sevilla/?utm_source=share_buttons&amp;utm_medium=twitter&amp;utm_campaign=social_share</t>
  </si>
  <si>
    <t>Beatriz Sánchez Agustino</t>
  </si>
  <si>
    <t>¡No te lo puedes perder! @vox_granada recibe a @Santi_ABASCAL, @FSerranoCastro y @fjocana RT @vox_granada: Gran acto el próximo lunes día 26 de noviembre en el Hotel Los Abades Nevada Palace, con @Santi_ABASCAL , @FSerranoCastro @fjocana ¡Te esperamos! #AndalucíaPorEspaña #EleccionesAndaluzas #VoxAvanza @vox_es</t>
  </si>
  <si>
    <t>https://twitter.com/vox_granada/status/1065339058119946247</t>
  </si>
  <si>
    <t>https://pbs.twimg.com/media/DsjYNpHXQAAacDf.jpg</t>
  </si>
  <si>
    <t>Granada, España</t>
  </si>
  <si>
    <t>Hay que luchar por dejar un mundo mejor a nuestros hijos</t>
  </si>
  <si>
    <t>Más comentados ahora en Derecha/Centro Dcha.: ➀ @sanchezcastejon ↑ ➁ @gabrielrufian ↑ ➂ @MariaMonteroTFE ↑ ➃ @rosadiezglez ↑ ➄ @Santi_ABASCAL ↓ ➅ @JosPastr ↑ ➆ @javiernegre10 ↑ ➇ @PSOE ↑ ➈ @carrizosacarlos ↑</t>
  </si>
  <si>
    <t>Víctor Caparrós</t>
  </si>
  <si>
    <t>Sorry ... gustar. GUSTAR.... me acabo de despertar y he soñado q Arrimadas se divorciaba para casarse con SANTI ABASCAL y sigo vomitando!!</t>
  </si>
  <si>
    <t xml:space="preserve">Catalunya, </t>
  </si>
  <si>
    <t>Demócrata de veritat no sistema espanyol .Tot el que fa olor a 155 i unionisme també fa pudor a 💩</t>
  </si>
  <si>
    <t>Más influyentes ahora en Derecha/Centro Dcha.: ➀ @MariaMonteroTFE ↑ ➁ @rosadiezglez ↑ ➂ @Santi_ABASCAL ↓ ➃ @JosPastr ↑ ➄ @javiernegre10 ↓ ➅ @carrizosacarlos ↑ ➆ @FroilLannister ↓ ➇ @Nanchinho ↑ ➈ @Anonymus_ES ↓</t>
  </si>
  <si>
    <t>Alberto Gómez</t>
  </si>
  <si>
    <t>Ojalá un Street Fighter con personajes como @Santi_ABASCAL, @gabrielrufian o @LeticiaDolera.</t>
  </si>
  <si>
    <t>pic.twitter.com/CcOP64HrVF</t>
  </si>
  <si>
    <t>Toledo</t>
  </si>
  <si>
    <t>Ingeniero de puentes y festivos</t>
  </si>
  <si>
    <t>Spanish Kekistani 🇪🇸🐸</t>
  </si>
  <si>
    <t>Sí sí: votaremos... a Marine Le Pen, a Viktor Orban, a Geert Wilders, a Santi Abascal... a cualquiera que quiera evitar que nos dejéis una Europa islámica los eurotontos o eurosoristas. RT @PE_Espana: Por el medio ambiente. Por los derechos humanos. Para que los jóvenes decidamos nuestro futuro. ¿Qué vais a estar ahí con el jijí y el jojó? Si no hubiese Parlamento Europeo estaríamos por las calles como chimpancés contra bonobos. 😂🤔 #estavezvoto</t>
  </si>
  <si>
    <t>Encarna García</t>
  </si>
  <si>
    <t>Detengan nuevas construcciones en el Parque Natural Cabo de Gata.: Detengan nuevas construcciones en el PARQUE Natural - ¡Firma la petición!  vía @change_es @CiudadanosCs @CsAlmeria_Prov @Santi_ABASCAL @pablocasado_ @vox_es</t>
  </si>
  <si>
    <t>https://twitter.com/pe_espana/status/1065156610941575169
http://estavezvoto.eu</t>
  </si>
  <si>
    <t>https://www.change.org/p/detengan-nuevas-construcciones-en-el-parque-natural-cabo-de-gata-detengan-nuevas-construcciones-en-el-parque-natural?recruiter=513399995</t>
  </si>
  <si>
    <t>Kingdom of Kekistan</t>
  </si>
  <si>
    <t>Veterano de las Meme Wars - 🐸 KEK - Nacionalista 🇪🇸 #Spexit - Ofensor de ofendiditos</t>
  </si>
  <si>
    <t>Neuropsicologa Infantil;positiva,entusiasta y vitalista #She believed she could so she did</t>
  </si>
  <si>
    <t>superspain83</t>
  </si>
  <si>
    <t>Que razón en lo del ejército... No sé lo había escuchado @Santi_ABASCAL pero si lo había pensado...les da algo a los lazis amarillos...q cobardes Rajoy y falconeti..</t>
  </si>
  <si>
    <t>https://youtu.be/rWdg5ac4xjM</t>
  </si>
  <si>
    <t xml:space="preserve">world </t>
  </si>
  <si>
    <t>yo,como Jamón!!</t>
  </si>
  <si>
    <t>Cas</t>
  </si>
  <si>
    <t>Pos parece el @Santi_ABASCAL un clon de Julio Anguita! Santi! Eres comunista! Comunista! RT @Xabibenputa: Totalmente fascinado por el hecho de que Santi Abascal se haya hecho un retoque fotográfico en la barba para asultanar aún más su perfil de cara a las autonómicas andaluzas.</t>
  </si>
  <si>
    <t>https://twitter.com/Xabibenputa/status/1065362223801995265</t>
  </si>
  <si>
    <t>https://pbs.twimg.com/media/DsjtSeFXQAEROuJ.jpg</t>
  </si>
  <si>
    <t>Casandra veía el futuro, la muerte y el sufrimiento ajeno y nadie la creía. ¿A mí? A veces, sólo a veces.</t>
  </si>
  <si>
    <t>David</t>
  </si>
  <si>
    <t>Basura de @PPopular @pablocasado_ , Si es que tiene que venir @vox_es y @Santi_ABASCAL a decir las cosas claras. Luego os extrañareis de que vayan a tener más de 2.000.000 de votos en las generales. RT @JosPastr: Titular correcto: PP y Ciudadanos se abstienen en una moción en la que Podemos, PSOE y nacionalistas se niegan a incluir en la condena al comunismo y otras ideologías que fomentan enfrentamiento.</t>
  </si>
  <si>
    <t>https://twitter.com/JosPastr/status/1065234890088693760
https://twitter.com/eldiarioes/status/1065233637401128960</t>
  </si>
  <si>
    <t xml:space="preserve">not sure </t>
  </si>
  <si>
    <t>Juan Mel Ramírez</t>
  </si>
  <si>
    <t>... alternativa. @vox_es me parece la mejor opción como partido. Pero que domine el abrazo. ¿Qué pensáis @Santi_ABASCAL,@vox?</t>
  </si>
  <si>
    <t>Ángel L.Esojo Garcia</t>
  </si>
  <si>
    <t>Si lo de hoy os ha espantado a más de uno cuando Rufian hacía el payaso como si en un circo estuviera, imaginad lo que puede ser @gabrielrufian vs. @Santi_ABASCAL en el @Congreso_Es dentro de 6 meses. #EspañaViva 🇪🇸💪🏼</t>
  </si>
  <si>
    <t>https://pbs.twimg.com/media/DsjxP0bXQAAt9xo.jpg</t>
  </si>
  <si>
    <t xml:space="preserve">Reino de España </t>
  </si>
  <si>
    <t>👮🏼‍♂SP-Escolta por el @Interiorgob. 📜Fundador: @HacemosPatria.📝Uno a uno todos somos mortales pero juntos somos eternos. 🇪🇸 📍En #Pamplona poniendo orden.</t>
  </si>
  <si>
    <t>https://Instagram.com/angel_esojo/</t>
  </si>
  <si>
    <t>https://twitter.com/La_SER/status/1065154211707404288
http://cadenaser.com/programa/2018/11/20/hoy_por_hoy/1542712340_800654.html</t>
  </si>
  <si>
    <t>https://pbs.twimg.com/media/DsgwGuqU8AEeA9d.jpg</t>
  </si>
  <si>
    <t>Joaquín</t>
  </si>
  <si>
    <t>Hola, @Santi_ABASCAL. Deberías ir a reconquistar Sentinel del Norte</t>
  </si>
  <si>
    <t>pic.twitter.com/KUGsqL5bRV</t>
  </si>
  <si>
    <t>#SanFernando #Andalucía</t>
  </si>
  <si>
    <t>Escribo cosas en las redes con @fergucommunity y hago fotos en @fergufoto con mi Canon 600D y mi Nikon D7200. Marido de Elena. Padre de Carmen y Alberto</t>
  </si>
  <si>
    <t>Más comentados ahora en Derecha/Centro Dcha.: ➀ @sanchezcastejon ↓ ➁ @gabrielrufian ↓ ➂ @MariaMonteroTFE ↓ ➃ @rosadiezglez ↓ ➄ @Santi_ABASCAL ↓ ➅ @javiernegre10 ↑ ➆ @JosPastr ↑ ➇ @FroilLannister ↓ ➈ @carrizosacarlos ↑</t>
  </si>
  <si>
    <t>Morticia</t>
  </si>
  <si>
    <t>Hasta el look Santi Abascal le queda bien. RT @ZacEfron: Mi nueva amiga Amapola 🐎</t>
  </si>
  <si>
    <t>Más influyentes ahora en Derecha/Centro Dcha.: ➀ @MariaMonteroTFE ↓ ➁ @rosadiezglez ↓ ➂ @Santi_ABASCAL ↓ ➃ @javiernegre10 ↑ ➄ @FroilLannister ↓ ➅ @JosPastr ↑ ➆ @carrizosacarlos ↓ ➇ @Anonymus_ES ↑ ➈ @Escribano_R ↑</t>
  </si>
  <si>
    <t>Planta -2 de Mystery Shack</t>
  </si>
  <si>
    <t>Ser mitológico. Ella. "Deportes Guerra: campo, playa y sierra."</t>
  </si>
  <si>
    <t>http://parasomnias.blogspot.com</t>
  </si>
  <si>
    <t>Ibai</t>
  </si>
  <si>
    <t>A todo esto, a la mujer que celebra la muerte de 2 miembros de Podemos y sus parejas en un accidente la sigue @Santi_ABASCAL, lo que no sería para nada preocupante si no fuera un tío bastante selectivo al seguir en Twitter (sólo sigue a 1 de cada 30 personas que le siguen a él).</t>
  </si>
  <si>
    <t>https://pbs.twimg.com/media/Dsju44eXcAAuFGZ.jpg</t>
  </si>
  <si>
    <t>Psicólogo especializado en drogas. Siempre del lado de las personas oprimidas. En realidad escribo cosas, muchas cosas, para llenar vacíos existenciales.</t>
  </si>
  <si>
    <t>http://kallixti.blogspot.com.es</t>
  </si>
  <si>
    <t>Jose Maria Mancheño</t>
  </si>
  <si>
    <t>Gracias @Santi_ABASCAL por tu esfuerzo al acompañarnos y tu compromiso con la caza andaluza. RT @Santi_ABASCAL: Esta tarde en el encuentro organizado por la Federación Andaluza de Caza con los cazadores andaluces. #LaCazaTambienVota #Caza #AndalucíaPorEspaña #Andalucía #VotaVOX @RFECaza @andaluciacaza</t>
  </si>
  <si>
    <t>https://twitter.com/santi_abascal/status/1065361528751353857</t>
  </si>
  <si>
    <t>https://pbs.twimg.com/media/DsjsoZMWoAAa6Pb.jpg</t>
  </si>
  <si>
    <t>Sierra de Yeguas-Malaga-España</t>
  </si>
  <si>
    <t>Presidente de la Federación Andaluza de Caza. Abogado. Un cazador más.</t>
  </si>
  <si>
    <t>David M🇪🇸</t>
  </si>
  <si>
    <t>La reconquista empieza en Andalucía de la mano de @vox_es con @FSerranoCastro a la cabeza 🇪🇸 #HacerEspañaGrandeOtraVez #Vox #España #SeEmpiezaPorAndalucía @VOX_Jaen @voxnoticias_es @voxjovenes @VoxCordoba @VOXSevilla @VOXHuelva @voxalmeria @vox_malaga @VOX_CADIZ @Santi_ABASCAL</t>
  </si>
  <si>
    <t>https://pbs.twimg.com/media/Dsjq4B8WkAEv8cU.jpg</t>
  </si>
  <si>
    <t>Reino de España.</t>
  </si>
  <si>
    <t>Amante del deporte, en especial del tenis y fútbol. Me gusta la política, el cine y la lectura.</t>
  </si>
  <si>
    <t>Miguel A.</t>
  </si>
  <si>
    <t>Don @Santi_ABASCAL en Jaén 😍😍😍 RT @Santi_ABASCAL: El próximo lunes 26 en GRANADA Y el miércoles 28 en JAÉN #AndalucíaPorEspaña #EspañaViva #Granada #Jaén</t>
  </si>
  <si>
    <t>https://twitter.com/Santi_ABASCAL/status/1065333144205869058</t>
  </si>
  <si>
    <t>https://pbs.twimg.com/media/DsjS0kBXgAA2L7m.jpg</t>
  </si>
  <si>
    <t>Licenciado en Administración y Dirección de Empresas. Abonado sufridor del Real Jaén y del Jaén FS. Exiliado en Madrid</t>
  </si>
  <si>
    <t>Leifbundir⚔️🇳🇴</t>
  </si>
  <si>
    <t>difusión por favor @vox_es @voxnoticias_es @Santi_ABASCAL</t>
  </si>
  <si>
    <t>https://pbs.twimg.com/media/Dsjo13BWsAAzDe2.jpg</t>
  </si>
  <si>
    <t xml:space="preserve">Visigothia </t>
  </si>
  <si>
    <t>Jomsviking | Nacional-Ecologista 🌲| Sangre y Tierra | Etnoestado Visigodo 👱🏻‍♂️🗡🛡</t>
  </si>
  <si>
    <t>https://pbs.twimg.com/media/DsjouxOWwAE4pJ6.jpg</t>
  </si>
  <si>
    <t>Adrian Blazquez</t>
  </si>
  <si>
    <t>Parece que @Santi_ABASCAL es el único político que lo tiene claro. En la foto, con una revista de @CuadernosTM RT @JavierJ67840778: Acompañando a @Santi_ABASCAL en un encuentro con la Federación Andaluza de Caza en Sevilla #LaCazaTambienVota . La sala, por cierto, abarrotada hasta la bola</t>
  </si>
  <si>
    <t>https://twitter.com/javierj67840778/status/1065314733237198848</t>
  </si>
  <si>
    <t>https://pbs.twimg.com/media/DsjCFhYXoAAR9nA.jpg</t>
  </si>
  <si>
    <t>Castilla</t>
  </si>
  <si>
    <t>Ingeniería Civil. En mi tiempo libre escribo historias. Toros @PTaurBurgohondo</t>
  </si>
  <si>
    <t>Sergio 🇪🇸🇪🇸</t>
  </si>
  <si>
    <t>El gran problema es que nadie es capaz de hablar del mismo modo a Rufián que el que él usa. Me va a encantar ver a @gabrielrufian intentando hablar de ese modo a @Santi_ABASCAL en la próxima legislación, tras las elecciones de mayo. Rufi agachando la cabecita.</t>
  </si>
  <si>
    <t xml:space="preserve">Antequera, Málaga </t>
  </si>
  <si>
    <t>El periodismo y la política son mi pasión ||12❤️||Antirreligioso-PSOE🌹-Antitaurino // Gitano // Español y orgulloso, ¡Viva S.M. El Rey! 🇪🇸🇪🇸</t>
  </si>
  <si>
    <t>Fran Castillejo</t>
  </si>
  <si>
    <t>Para los que dicen que @vox_es es un partido de Extrema Derecha, un partido facha o un partido Franquista... Decirles que para opinar hay que leerse la PROPUESTA ELECTORAL que han hecho y las ideas que tienen. @Santi_ABASCAL @FSerranoCastro Sólo buscan el bien para España #vox</t>
  </si>
  <si>
    <t>Córdoba, 19. Fotógrafo, miembro de @fococor y opositor para CNP🇪🇸. Amante de la Semana Santa, de mi país y del fútbol. Incondicional CCF💚. Costalero.</t>
  </si>
  <si>
    <t>http://castipasionporlafotografia.blogspot.com</t>
  </si>
  <si>
    <t>Juan José Aizcorbe</t>
  </si>
  <si>
    <t>HOY LOS HÉROES HAN ESTADO EN BARCELONA. AL FRENTE Y CON ELLOS IGNACIO GARRIGA @Igarrigavaz VOX NO HA CEDIDO A LAS AMENAZAS DE LOS CDR “gent de Pau”,si escupen en el Parlamento que no harán @vox_barcelona @Santi_ABASCAL @vox_es @JGarrigaDomenec @Jorgebuxade</t>
  </si>
  <si>
    <t>https://politica.e-noticies.cat/vox-venc-els-cdr-120887.html</t>
  </si>
  <si>
    <t>Abogado, católico, español, catalán. De niño San Sebastián, después Barcelona, ahora Madrid. Una necesidad escuchar, aprender y pedir perdón.</t>
  </si>
  <si>
    <t>http://www.aizcorbe.com</t>
  </si>
  <si>
    <t>Más comentados ahora en Derecha/Centro Dcha.: ➀ @sanchezcastejon ↓ ➁ @gabrielrufian ↑ ➂ @rosadiezglez ↑ ➃ @javiernegre10 ↓ ➄ @Santi_ABASCAL ↑↑↑↑ ➅ @JosPastr ↑ ➆ @carrizosacarlos ↓ ➇ @Esquerra_ERC ↑ ➈ @FroilLannister ↓</t>
  </si>
  <si>
    <t>#Elisabetromer</t>
  </si>
  <si>
    <t>Más influyentes ahora en Derecha/Centro Dcha.: ➀ @rosadiezglez ↑ ➁ @Santi_ABASCAL ↑↑↑↑ ➂ @javiernegre10 ↓ ➃ @JosPastr ↑ ➄ @carrizosacarlos ↑ ➅ @FroilLannister ↓ ➆ @Escribano_R ↓ ➇ @Anonymus_ES ➈ @jordi_canyas ↓</t>
  </si>
  <si>
    <t>La Humanidad, sufre una verdadera crisis de Valores. 💖💫</t>
  </si>
  <si>
    <t>Opyno.org</t>
  </si>
  <si>
    <t>Opyna ¿crees que @Santi_ABASCAL y @FSerranoCastro de Vox pueden ser la gran sorpresa electoral ? #EleccionesAndaluzas #politica #VOX #Opinion</t>
  </si>
  <si>
    <t>Con Opyno podrás expresar tu opinión con la maxima privacidad sobre nuestr@s representantes políticos; que nos escuchen, sentirnos libres. #Politica</t>
  </si>
  <si>
    <t>http://www.opyno.org</t>
  </si>
  <si>
    <t>Raspavinhas</t>
  </si>
  <si>
    <t>Entre todos los partidos, le están haciendo una campaña electoral a @vox_es y @Santi_ABASCAL única y a coste 0, y mi voto ❎ lo tienen, basta de lo de siempre que no nos vale para nada!</t>
  </si>
  <si>
    <t>Neumünster, Deutschland</t>
  </si>
  <si>
    <t>VOX Granada</t>
  </si>
  <si>
    <t>Gran acto el próximo lunes día 26 de noviembre en el Hotel Los Abades Nevada Palace, con @Santi_ABASCAL , @FSerranoCastro @fjocana ¡Te esperamos! #AndalucíaPorEspaña #EleccionesAndaluzas #VoxAvanza @vox_es</t>
  </si>
  <si>
    <t>Yerbagüena n° 9, bajo 4, entrada por, Calle las Madroñeras, 18014 Granada</t>
  </si>
  <si>
    <t>Cuenta oficial de @vox_es en Granada Presidente: Julio Vao info@granada.voxespana.es Tlf.691933046</t>
  </si>
  <si>
    <t>https://casoaislado.com/santiago-abascal-aplaude-al-juez-marchena-ha-dado-una-leccion-dignidad-patriotismo-e-independencia/</t>
  </si>
  <si>
    <t>http://www.voxespana.es/granada</t>
  </si>
  <si>
    <t>CapitalistHeaven☭</t>
  </si>
  <si>
    <t>Ahora que he conseguido vuestra atención, gracias a esta figura tan sensual (@Santi_ABASCAL gracias por la pose), quiero deciros: -pensad por un momento en ese mundo, un sistema que se dedica a explotar gente, fascistas llamados nostálgicos, fascismo LEGAL, flipo...</t>
  </si>
  <si>
    <t>https://pbs.twimg.com/media/DsjXuQEW0AIQN9z.jpg</t>
  </si>
  <si>
    <t>☭</t>
  </si>
  <si>
    <t>Antifascista, Comunista (eso creo), Republicano, Subo memes Rojos y Catelllanos</t>
  </si>
  <si>
    <t>♠.N.O.R.B.E.R.T.O.♠</t>
  </si>
  <si>
    <t>Con todo lo q está ocurriendo últimamente en España .. cada día tengo más claro q mi voto será para .. @vox_es y @Santi_ABASCAL ahora q me tachen de facha .. d extrema derecha .. d fascista .. falangista y demás .. q me lo paso por los mismísimos huevos .. VIVA ESPAÑA .. MI PAIS</t>
  </si>
  <si>
    <t>♠ .R.E.A.L  M.A.D.R.I.D. ♠</t>
  </si>
  <si>
    <t>Sabes mi nombre .. No mi historia .. Has oído lo q he hecho .. No lo q he pasado .. Sabes quien fui .. Pero no sabes quien soy .. Me hicieron ser .. Boina verde</t>
  </si>
  <si>
    <t>Carmen Calvo vicepresidente, don't forget</t>
  </si>
  <si>
    <t>Necesito saber qué opinión tiene @vox_es sobre este tema, pero ya. Tu turno @Santi_ABASCAL RT @elmundoes: Nace el gran hermano de la política. Los partidos podrán recopilar datos personales obtenidos en internet, con énfasis en lo que respecta a sus opiniones políticas</t>
  </si>
  <si>
    <t>https://twitter.com/elmundoes/status/1065302824777596928
https://trib.al/G9cjXD6</t>
  </si>
  <si>
    <t>Pedro I. Altamirano</t>
  </si>
  <si>
    <t>Ejpaña</t>
  </si>
  <si>
    <t>Mira @Santi_ABASCAL lávate la boca de mala leche que tienes, antes de pronunciar el nombre de Blas Infante @FundBlasInfante (Padre de la Nación Andaluza) y de Al-andalus. Somos una Nación siglos antes que España y Europa existieran.</t>
  </si>
  <si>
    <t>Somos líderes mundiales en imbéciles, es hora de empezar a exportarlos, por las buenas o por las malas.</t>
  </si>
  <si>
    <t>https://m.eldiario.es/politica/Santiago-Abascal-Andalucia-Infante-Andalus_0_837817468.html#click=https://t.co/xeuH59vk2W</t>
  </si>
  <si>
    <t>República Andaluza</t>
  </si>
  <si>
    <t>Andalucía =*= #VíaAndaluza @aZamblea @andalucesAND @AndaluciaMarcha</t>
  </si>
  <si>
    <t>https://www.azamblea.org</t>
  </si>
  <si>
    <t>Viktor Orban debe ser el referente en Hungría para el movimiento patriota que lidera @Santi_ABASCAL @vox_es.</t>
  </si>
  <si>
    <t>https://pbs.twimg.com/media/DsjSr2_XoAACHZA.jpg</t>
  </si>
  <si>
    <t>La líder de @RNational_off @MLP_officiel debe ser el referente en Francia para el movimiento patriota que lidera @Santi_ABASCAL @vox_es.</t>
  </si>
  <si>
    <t>https://pbs.twimg.com/media/DsjRwBEXgAAgYXS.jpg</t>
  </si>
  <si>
    <t>MarranoAndaluz</t>
  </si>
  <si>
    <t>El señor @Santi_ABASCAL de @vox_es despreciando a Blas Infante @AdelanteAND @AndaluciaxSi @nacion_andaluza #AdelanteAndalucía #EleccionesAndaluzas #EleccionesAndalucía @TeresaRodr_ @altamiranoMLG @JuakyB</t>
  </si>
  <si>
    <t>https://m.eldiario.es/politica/Santiago-Abascal-Andalucia-Infante-Andalus_0_837817468.html</t>
  </si>
  <si>
    <t>Una Hora en Libertad</t>
  </si>
  <si>
    <t>Como los ves @Santi_ABASCAL ? Resulta q los votos de @vox_es en #Andalucía suponen para vosotros 1 escaño y para el @PPopular 8 #porunaleyelectoraljusta RT @joaquintorrevie: Votar a Vox en Andalucia, que tendrá MÁXIMO 0-1 escaño, supone QUITARLE 8 escaños al @ppandaluz y regalarle el Gobierno a Susana Diaz. Piensa bien el destino final de TU VOTO</t>
  </si>
  <si>
    <t>Jerez de la Frontera, España</t>
  </si>
  <si>
    <t>Republicano, Andalucista y de izquierdas.</t>
  </si>
  <si>
    <t>https://twitter.com/joaquintorrevie/status/1064157230281474049</t>
  </si>
  <si>
    <t>https://pbs.twimg.com/media/DsSlWvHWkAAW_Mi.jpg</t>
  </si>
  <si>
    <t>Los sábados a las 15:00 y colaborando todos los días En la Boca del Lobo. Radio YA</t>
  </si>
  <si>
    <t>La líder de @FratellidItaIia @GiorgiaMeloni debe ser el referente en Italia para el movimiento patriota que lidera @Santi_ABASCAL @vox_es.</t>
  </si>
  <si>
    <t>https://pbs.twimg.com/media/DsjQyzOWsAY-Crw.jpg</t>
  </si>
  <si>
    <t>notincporc</t>
  </si>
  <si>
    <t>¿Soy el único que quiere ver ya a @Santi_ABASCAL en el Congreso contestando al golpista @gabrielrufian como se merece?</t>
  </si>
  <si>
    <t>Super demócrata, si no piensas como yo eres un nazi. Nunca digo España, sólo este país o el estado. Leo poemas cursis sobre problemas que no interesan a nadie</t>
  </si>
  <si>
    <t>Hugo Garrido</t>
  </si>
  <si>
    <t>Hablemos de asuntos que importan... ¿Cuál es la postura de @vox_es y @Santi_ABASCAL respecto a la nueva Ley Orgánica de Protección de Datos?</t>
  </si>
  <si>
    <t>Ing. Téc. Informática Sistemas. Periodismo en @uc3m #Periodismodatos en @elmundoes. Enseñando en @M_Investigacion @Master_ElMundo Chico @civio #ddj</t>
  </si>
  <si>
    <t>VOX_Albacete</t>
  </si>
  <si>
    <t>Arrancamos #LaCazaTambienVota en #Sevilla con @vox_es . @Santi_ABASCAL : “defenderemos la caza con todos los argumentos que tiene porque es vital para el mundo rural” RT @andaluciacaza: Arrancamos #LaCazaTambienVota en #Sevilla con @vox_es. @Santi_ABASCAL: “defenderemos la caza con todos los argumentos que tiene porque es vital para el mundo rural”</t>
  </si>
  <si>
    <t>https://mobile.twitter.com/andaluciacaza/status/1065310307244023809</t>
  </si>
  <si>
    <t>https://pbs.twimg.com/media/Dsi-DzrWkAYBu2l.jpg</t>
  </si>
  <si>
    <t>"Frente a los que reivindican la Andalucía de Blas Infante, de Almanzor y de Al-Andalus, nosotros reivindicamos la Andalucía de Fernando III El Santo, de Gonzalo Fernández de Córdoba, de Isabel La Católica y de las Cortes de Cádiz" #AndalucíaPorEspaña #VotaVOX #Córdoba</t>
  </si>
  <si>
    <t>Albacete (España)</t>
  </si>
  <si>
    <t>Cuenta oficial de @VOX_Albacete. Enamorados de España 🇪🇸 . ¿Nos sigues? 😉 ✉️ info@albacete.voxespana.es 644 38 22 43</t>
  </si>
  <si>
    <t>https://www.voxespana.es/albacete</t>
  </si>
  <si>
    <t>pic.twitter.com/x1WBDIDZC3</t>
  </si>
  <si>
    <t>Esperanza</t>
  </si>
  <si>
    <t>Y siempre ha sido y será de la iglesia, @Santi_ABASCAL @vox_es RT @PPineros_: @vox_es @Santi_ABASCAL Para los cordobeses siempre será CATEDRAL 😊</t>
  </si>
  <si>
    <t>https://twitter.com/PPineros_/status/1065276838472232965</t>
  </si>
  <si>
    <t>Las Rozas de Madrid, España</t>
  </si>
  <si>
    <t>Madre feliz de vivir en #LasRozas, amante de los #animales.</t>
  </si>
  <si>
    <t>Esta es la posición de @vox_es sobre la caza y el Silvestrismo explicada por @Santi_ABASCAL para #LaCazaTambiénVota en 10 minutos:</t>
  </si>
  <si>
    <t>https://youtu.be/vku6HJMDU60</t>
  </si>
  <si>
    <t>Cada día son más los patriotas y falangistas que se integran en @vox_es al comprender que es una fuerza nueva alternativa al Sistema y que es la herramienta más útil para defender a España y a los españoles. ¡Con @Santi_ABASCAL por España! Adelante. #VOX #VOXUtil #VOXAvanza</t>
  </si>
  <si>
    <t>https://pbs.twimg.com/media/DsjBq8aWsAEe-1G.jpg</t>
  </si>
  <si>
    <t>EL BUENO, EL PROGRE Y EL FACHA</t>
  </si>
  <si>
    <t>SÍ, votaré #VOX. Visita mi canal youtube EL BUENO EL PROGRE Y EL FACHA. Te echarás unas risas.</t>
  </si>
  <si>
    <t>Acompañando a @Santi_ABASCAL en un encuentro con la Federación Andaluza de Caza en Sevilla #LaCazaTambienVota . La sala, por cierto, abarrotada hasta la bola</t>
  </si>
  <si>
    <t>https://www.youtube.com/channel/UC4pLa55R6EOOyyfUaZ3eenQ</t>
  </si>
  <si>
    <t>Calixta Berry</t>
  </si>
  <si>
    <t>Df para Andalucía @Vox_Estepona @vox_malaga @VOXSevilla @voxnoticias_es @Alternativa_VOX @LolaMartinSC @ldpsincomplejos @hermanntertsch @Santi_ABASCAL @Ortega_Smith</t>
  </si>
  <si>
    <t>https://pbs.twimg.com/media/DsjB4nUXcAIz-W5.jpg</t>
  </si>
  <si>
    <t>España, el gran negocio de la burguesia catalana - No hay campo sin grillo ni tonto sin lazo amarillo</t>
  </si>
  <si>
    <t>Arrancamos #LaCazaTambienVota en #Sevilla con @vox_es. @Santi_ABASCAL: “defenderemos la caza con todos los argumentos que tiene porque es vital para el mundo rural”</t>
  </si>
  <si>
    <t>Fran LoGue</t>
  </si>
  <si>
    <t>Vox vive para que España Viva @Santi_ABASCAL @APalomarGarcia @VoxChiclana @vox_es @Ortega_Smith @estherizro @Vox_Antequera @VCartama @vox_rincon @raroru2004 @PatriciaSbd</t>
  </si>
  <si>
    <t>https://pbs.twimg.com/media/Dsi9qMdWkAALS2F.jpg</t>
  </si>
  <si>
    <t>Chiclana de la Frontera,España</t>
  </si>
  <si>
    <t>Autónomo, con Ganas de un Cambio en nuestro Pais</t>
  </si>
  <si>
    <t>Jose 🇪🇸</t>
  </si>
  <si>
    <t>🗨 @Santi_ABASCAL “Los cazadores os jugáis buena parte de vuestro futuro este 2 de diciembre, pues ya existen partidos que han señalado claramente vuestra prohibición si llegan a la Junta de Andalucía. Con VOX ocurrirá todo lo contrario”. #LaCazaTambienVota @andaluciacaza</t>
  </si>
  <si>
    <t>https://pbs.twimg.com/media/Dsi9a8bWsAAlp3E.jpg</t>
  </si>
  <si>
    <t>Algeciras, España</t>
  </si>
  <si>
    <t>🇪🇸</t>
  </si>
  <si>
    <t>Verdaderamente la presencia de Vox es de extrema necesidad @vox_es @Santi_ABASCAL @JoseMa_Llanos El PP no se opone a la totalitaria ley LGTBI de Valencia y Cs vota a favor</t>
  </si>
  <si>
    <t>https://infovaticana.com/2018/11/21/el-pp-no-se-opone-a-la-totalitaria-ley-lgtbi-de-valencia-y-cs-vota-a-favor/?utm_medium=social&amp;utm_source=twitter&amp;utm_campaign=shareweb&amp;utm_content=footer&amp;utm_origin=footer</t>
  </si>
  <si>
    <t>Xabibenputa</t>
  </si>
  <si>
    <t>Totalmente fascinado por el hecho de que Santi Abascal se haya hecho un retoque fotográfico en la barba para asultanar aún más su perfil de cara a las autonómicas andaluzas.</t>
  </si>
  <si>
    <t>EN DEFENSA DE LAS TRADICIONES ESPAÑOLAS, ADELANTE ESPAÑOLES AL CUADRADO, ANDALUCIA POR ESPAÑA @Pablo_Iglesias_ @ierrejon @pablocasado_ @vox_es @VOXSevilla @vox_malaga @VOX_Jaen @VoxCordoba @Santi_ABASCAL #LaCazaTambienVota #VOXGanaAndalucia #EleccionesAndaluzas RT @Jarama62: 🔴VOX no se olvida del colectivo de los cazadores, porque #LaCazaTambiénVota #AndalucíaPorEspaña #FelizMiercoles</t>
  </si>
  <si>
    <t>https://twitter.com/jarama62/status/1065290235091783680</t>
  </si>
  <si>
    <t>https://pbs.twimg.com/media/Dsirx1-XoAApFTJ.jpg</t>
  </si>
  <si>
    <t>Noble por nacimiento, valiente y sufrido por naturaleza</t>
  </si>
  <si>
    <t>Daniel España</t>
  </si>
  <si>
    <t>Es una suerte tener en nuestro tiempo politico a @Santi_ABASCAL dando la cara por España y los españoles. Gracias y a por todas.</t>
  </si>
  <si>
    <t>https://pbs.twimg.com/media/Dsi22SwWoAEGzuj.jpg</t>
  </si>
  <si>
    <t>Descendiente de Legionarios Romanos y Reconquistadores. Con su sangre a torrentes vertida, dio a la patria el preciado blasón.</t>
  </si>
  <si>
    <t>BUENO...PUES YO...VOTARÉ A @Santi_ABASCAL RT @Cerdam13Gm: @lunadebenidorm Lo siento</t>
  </si>
  <si>
    <t>Esta tarde en el encuentro organizado por la Federación Andaluza de Caza con los cazadores andaluces. #LaCazaTambienVota #Caza #AndalucíaPorEspaña #Andalucía #VotaVOX @RFECaza @andaluciacaza</t>
  </si>
  <si>
    <t>https://twitter.com/Cerdam13Gm/status/1065292265759887360</t>
  </si>
  <si>
    <t>ACTUA / VOX</t>
  </si>
  <si>
    <t>Magnífica rueda de prensa, Santiago. @Santi_ABASCAL @voxnoticias_es 🎥👇</t>
  </si>
  <si>
    <t>21CntrySchzdWmn</t>
  </si>
  <si>
    <t>A Santi Abascal seguro que no se atreven a escupirle.</t>
  </si>
  <si>
    <t>Baleares</t>
  </si>
  <si>
    <t>ACTUA VOX, dos partidos en coalición para la renovación y fortalecimiento de la democracia, con el objetivo de cohesionar la Nación.</t>
  </si>
  <si>
    <t>http://www.actuabaleares.com</t>
  </si>
  <si>
    <t>Si no tiene remedio: gramo y medio.</t>
  </si>
  <si>
    <t>Alternativa VOX 🇪🇸</t>
  </si>
  <si>
    <t>📹 Ni un espacio libre en el interior, y cientos de personas se tuvieron que quedar fuera ayer en el acto de campaña de @vox_es en Córdoba con @FSerranoCastro, @Ortega_Smith y @Santi_ABASCAL. El #2D el sentido común llegará al parlamento de Andalucía y desalojará al PSOE.</t>
  </si>
  <si>
    <t>pic.twitter.com/Gb6UkoCHVR</t>
  </si>
  <si>
    <t>Espectacular y contundente Santi Abascal en Málaga.</t>
  </si>
  <si>
    <t>Cuenta de apoyo a VOX. Cuenta no oficial</t>
  </si>
  <si>
    <t>VOX Escorial</t>
  </si>
  <si>
    <t>Gracias a @Santi_ABASCAL y a todos los que forman @vox_es somos más que un partido: somos la gran esperanza para miles de españoles. Los únicos capaces de corregir el actual desastre en lo que han convertido a España. RT @Santi_ABASCAL: Abro hilo, con imágenes de algunos de los actos de VOX en los que he participado por toda España en los últimos meses. #VoxAvanza en MADRID. 10 de marzo de 2018.</t>
  </si>
  <si>
    <t>https://twitter.com/santi_abascal/status/975144986701418496</t>
  </si>
  <si>
    <t>https://pbs.twimg.com/media/DYhpIAhW0AMKhHC.jpg</t>
  </si>
  <si>
    <t>El Escorial, España</t>
  </si>
  <si>
    <t>Cuenta oficial de VOX El Escorial.</t>
  </si>
  <si>
    <t>http://www.voxescorial.es</t>
  </si>
  <si>
    <t>españa</t>
  </si>
  <si>
    <t>📸 Impresionante acogida que nos dieron ayer los cordobeses. Lo primero que hizo @Santi_ABASCAL fue visitar su Catedral. ✅ Defendemos su catolicidad, combatiremos a todos aquellos que quieran convertirla en una mezquita y perseguiremos la propagación del integrismo islámico.</t>
  </si>
  <si>
    <t>https://pbs.twimg.com/media/Dsieb4IX4AEUXpQ.jpg</t>
  </si>
  <si>
    <t>Javier Carmona Reina</t>
  </si>
  <si>
    <t>El @Santi_ABASCAL americano RT @ZacEfron: Mi nueva amiga Amapola 🐎</t>
  </si>
  <si>
    <t>I am what I am, someone has to be. I'm back.</t>
  </si>
  <si>
    <t>📍 @Santi_ABASCAL participará hoy en el acto de @andaluciacaza en Sevilla. 📲 También participaremos en la quedada tuitera para hacer frente a la propuesta de Podemos de fulminar el derecho a la caza de los andaluces y para apoyar al mundo rural. 👉 Utiliza #LaCazaTambiénVota</t>
  </si>
  <si>
    <t>https://pbs.twimg.com/media/Dsia6d-WsAAn8WU.jpg</t>
  </si>
  <si>
    <t>Dejad que los muertos entierren a sus muertos. VOX ES LA SOLUCIÓN PARA TENER UNA ESPAÑA VIVA SIN TRAIDORES Y SIN CORRUPCIÓN. Yo voto VOX. @FJL_EsRadio @Ortega_Smith @Santi_ABASCAL @monasterioR VIVA VOX VOTO VOX. RT @Alfonbay: Ésta es la asquerosa manipulación de @cuatro , superponiendo la foto de @Santi_ABASCAL en #PuntoFranquistas , un reportaje sobre españoles que añoran el pasado. 🔴 Lo sentimos, pero @vox_es mira al futuro. Y el futuro es la #EspañaViva</t>
  </si>
  <si>
    <t>https://twitter.com/Alfonbay/status/1065005207564808193</t>
  </si>
  <si>
    <t>pic.twitter.com/timCgsnVdS</t>
  </si>
  <si>
    <t>Los españoles pueden ver como se tira su dinero en un congreso que más bien parece un circo romano. Por Dios VOX es la solución para terminar con las vergonzosas sesiones improductivas de un congreso estéril. @FJL_EsRadio @Ortega_Smith @Santi_ABASCAL @monasterioR VIVA VOX</t>
  </si>
  <si>
    <t>Sergio González</t>
  </si>
  <si>
    <t>Por favor vean esto. Tómense los 3 minutos. Verán la realidad!!!! @CiudadanosCs @vox_es @Albert_Rivera @InesArrimadas @Santi_ABASCAL no van a luchar contra esto? Van a dejar a @PSOE y @ahorapodemos para que muera gente? RT @raclo33: BRUTAL!! 🚨🚨📢📢Lo que SUSANA DÍAZ no quiere que oigas!! Jesús Candel, Médico de Urgencias del Hospital Universitario San Cecilio de Granada, nos cuenta la realidad de la Sanidad Publica Andaluza, tras 40 años de Socialismo. 👇👇</t>
  </si>
  <si>
    <t>https://twitter.com/raclo33/status/1064835986532851712
https://www.youtube.com/watch?v=pd-Byk60-2I&amp;t</t>
  </si>
  <si>
    <t>pic.twitter.com/n03ukAGrhm</t>
  </si>
  <si>
    <t>Ingeniero civil, curioso, algo no encaja en toda la composición universal.</t>
  </si>
  <si>
    <t>El hecho de que un anti social como Rufián esté en el congreso de España es un mensaje de lo mucho que tiene la gran nación que hacer para limpiar tanta costra. La lacra tiene un sitio en las mazmorras no en el congreso. @FJL_EsRadio @Ortega_Smith @Santi_ABASCAL @monasterioR VOX RT @rosadiezglez: Inaceptable y vergonzoso espectáculo en el Congreso. Ha hecho bien la Presidenta Pastor expulsando a Rufián. Y Borrell haría bien en comprender que quienes hoy le escupen ayer le hicieron Ministro; y actuar en consecuencia. De aquellos polvos vienen estos lodos.</t>
  </si>
  <si>
    <t>https://twitter.com/rosadiezglez/status/1065190591817048064</t>
  </si>
  <si>
    <t>https://pbs.twimg.com/media/DshRMoFXcAApT_n.jpg</t>
  </si>
  <si>
    <t>Ricardo Latorre  ن</t>
  </si>
  <si>
    <t>Vídeo impresionante. Uno de los dos concejales era @Santi_ABASCAL. Cuando vi este mismo vídeo hace años pensé: "'¡Oh qué buen vasallo si tuviera buen señor!" España necesita un líder así'. Los violentos del vídeo hoy están en el Gobierno de España.</t>
  </si>
  <si>
    <t>https://youtu.be/S8_g6JS2z24</t>
  </si>
  <si>
    <t>Sacerdote. Doctor en Comunicación Social. Profesor en @ufvmadrid</t>
  </si>
  <si>
    <t>http://confesorgo.com</t>
  </si>
  <si>
    <t>Es preciso que VOX entre al congreso con muchos diputados a ver si las sesiones tienen sentidos y acabar con las fábulas de viejas de los políticos en campañas polémicas perpetuas. Nada edificantes. @FJL_EsRadio @Ortega_Smith @Santi_ABASCAL @monasterioR VIVA VOX VOTO VOX.</t>
  </si>
  <si>
    <t>En @vox_es están decididos a defender el cristianismo ante el acoso de la izquierda y de los islamistas. @Santi_ABASCAL acudió a la Catedral-mezquita de Córdoba para dejar claro que perseguirán el islam más radical.</t>
  </si>
  <si>
    <t>https://casoaislado.com/vox-avisa-defendera-cristianismo-ante-acoso-del-islam-perseguira/</t>
  </si>
  <si>
    <t>https://pbs.twimg.com/media/DsiJwU-X4AAbeU3.png</t>
  </si>
  <si>
    <t>Pérez Reverte &amp; Gabriel Rufián El Congreso lleva mucho tiempo sin representar a la sociedad, el pueblo va por un camino y los políticos por un atajo. VERGÜENZA ! @AbeInfanzon @hermanntertsch @PerdigueroSIPEp @alfonso_ussia @Santi_ABASCAL  #FelizMiércolesRT @perezreverte: ¿Alguien creyó que sentar a cierta gentuza en el Congreso iba a salirnos gratis?... Entre todos los hemos creado y los hemos votado, así que ahora toca disfrutarlos.</t>
  </si>
  <si>
    <t>https://twitter.com/perezreverte/status/1065181684361043968?s=19
https://www.elmundo.es/espana/2018/11/21/5bf51cfa268e3e01268b45c6.html</t>
  </si>
  <si>
    <t>Pium Pum Pium</t>
  </si>
  <si>
    <t>Quiero decir, todo el mundo en algún momento se ha sentido @Santi_ABASCAL , de putísima madre socio.</t>
  </si>
  <si>
    <t>https://pbs.twimg.com/media/DsiHvMqWoAA5_aD.jpg</t>
  </si>
  <si>
    <t>Solo estamos los nosotros 2</t>
  </si>
  <si>
    <t>MaDaoUnBajon</t>
  </si>
  <si>
    <t>Si os aburrís o queréis desconectar un rato meteros al perfil de @Santi_ABASCAL y os podéis echar unas risiyas</t>
  </si>
  <si>
    <t>SoyDeAragoooooooooooooooon</t>
  </si>
  <si>
    <t>Hit or miss. I'm already tracer. Más cansao que Jorge.</t>
  </si>
  <si>
    <t>http://xn--cllate-pta.com</t>
  </si>
  <si>
    <t>RaPiqFu</t>
  </si>
  <si>
    <t>Os imagináis q el mierda ese de ERC en vez de escupir a @JosepBorrellF escupe a @Santi_ABASCAL o a @Ortega_Smith ? No os lo imagináis verdad ? Pq no tendría cojones a hacerlo. La gentuza suelo se subleva ante los débiles. @vox_es al congreso YA!! La #EspañaViva y muy necesaria</t>
  </si>
  <si>
    <t>1ª premisa vestirse por los pies. 2ª premisa pensar por mi mismo. 3ª premisa no perder el tiempo.</t>
  </si>
  <si>
    <t>VIVA ESPAÑA Y VIVA VOX Y @Santi_ABASCAL</t>
  </si>
  <si>
    <t>https://pbs.twimg.com/media/DsiC8coWwAABeHL.jpg</t>
  </si>
  <si>
    <t>Muruburoso Corleone</t>
  </si>
  <si>
    <t>Cuando @vox_es llega a una ciudad despierta curiosidad, expectación, emoción. Algo está pasando @Santi_ABASCAL algo está cambiando</t>
  </si>
  <si>
    <t xml:space="preserve">Caballero castellano </t>
  </si>
  <si>
    <t>Soy Caballero y defiendo los valores y derechos fundamentales. Los Estados nos despersonalizan y siempre defenderé a los individuos.</t>
  </si>
  <si>
    <t>Goico</t>
  </si>
  <si>
    <t>Este viernes en el black Friday los medios a mitad de precio! @Santi_ABASCAL</t>
  </si>
  <si>
    <t xml:space="preserve">  Sevilla </t>
  </si>
  <si>
    <t>Bella Ciao</t>
  </si>
  <si>
    <t>Lex Talionis</t>
  </si>
  <si>
    <t>Pueden retener los sobres con propaganda electoral, pero no podrán retener nuestros sobres en las urnas. @vox_es @Santi_ABASCAL</t>
  </si>
  <si>
    <t>Los primates de ERC no deberían estar en el Congreso, pero no por maleducados y zafios, sino por separatistas golpistas. Esos partidos convertidos en organizaciones criminales golpistas deben ser desarticulados e ilegalizados. RT @javiernegre10: Razones por las que @gabrielrufian y @jsalvadorduch , diputados de @Esquerra_ERC , no deberían volver a pisar un Congreso de los Diputados que pagamos todos los españoles</t>
  </si>
  <si>
    <t>Querer a España --fachas. Defender las fronteras--xenófobos. Estar en contra de impuestos abusivos --insolidarios. Defender las tradiciones --retrógrado.</t>
  </si>
  <si>
    <t>https://twitter.com/javiernegre10/status/1065327455555252224</t>
  </si>
  <si>
    <t>pic.twitter.com/QhFI5PnOjF</t>
  </si>
  <si>
    <t>Ibéricas maneras</t>
  </si>
  <si>
    <t>Un diputado de Esquerra, supremacista y radical, escupe a Borrell en el Congreso. Pero "los peligrosos son los de @vox_es ". @Santi_ABASCAL</t>
  </si>
  <si>
    <t>Un Berciano en Madrid</t>
  </si>
  <si>
    <t>Trata a las buenas personas como si fueran Dioses y a los delincuentes de la peor forma que la ley te permita.Español y animalista 100%.</t>
  </si>
  <si>
    <t>Club de los Viernes</t>
  </si>
  <si>
    <t>Señores políticos: Terminen de una vez con los privilegios y la sobrerepresentación que concede la Ley Electoral a partidos de una regiones sobre el resto. @pablocasado_ @sanchezcastejon @Albert_Rivera @Santi_ABASCAL</t>
  </si>
  <si>
    <t>Movimiento en defensa de las libertades civiles, el derecho de propiedad y el Estado limitado. #CdV administracion@elclubdelosviernes.org</t>
  </si>
  <si>
    <t>http://www.elclubdelosviernes.org</t>
  </si>
  <si>
    <t>Esto sí que es una vergüenza. Cambio Radical Ya. @Santi_ABASCAL @vox_es @vox_jerezfra</t>
  </si>
  <si>
    <t>https://pbs.twimg.com/media/Dsh7H7PWkAA487S.jpg</t>
  </si>
  <si>
    <t>Cualquiera de Mis Peces,valen 10.000 veces más que estos Políticos de MIERDA.</t>
  </si>
  <si>
    <t>AMANECER ROJIGUALDA</t>
  </si>
  <si>
    <t>Como no voy a votar a @vox_es viendo al 💩 de @gabrielrufian , al @PSOE de @Adrilastra y @sanchezcastejon indultando golpistas y al cobarde @PPopular callado; quiero ver a @JoanTarda cagarse frente a @Santi_ABASCAL en el #congreso #FelizMiercoles #diamundialdelatelevision</t>
  </si>
  <si>
    <t>La pasión sabe a vino, el amor a café.</t>
  </si>
  <si>
    <t>Jaume Ors .Ñ.🇪🇸</t>
  </si>
  <si>
    <t>El próximo lunes 26 en GRANADA Y el miércoles 28 en JAÉN #AndalucíaPorEspaña #EspañaViva #Granada #Jaén</t>
  </si>
  <si>
    <t>Así manipula @laSextaTV el acto de @vox_es y las palabras de @Santi_ABASCAL en Murcia. #EspañaViva</t>
  </si>
  <si>
    <t>https://twitter.com/elespanolcom/status/1063814014218657793
https://www.elespanol.com/espana/20181117/vox-quiere-coma-jamon-colegios-moleste-islamistas/353965001_0.html</t>
  </si>
  <si>
    <t>https://youtu.be/sUPc45MeeKU</t>
  </si>
  <si>
    <t>https://pbs.twimg.com/media/DsNlHYWXcAUckGv.jpg</t>
  </si>
  <si>
    <t>Es la hora de #España. NUESTRA INDESTRUCTIBLE ESPAÑA. Se acabó el tiempo del respeto al comunismo y al separatismo. #patriotismo #VOX #stopislam #misbanderas</t>
  </si>
  <si>
    <t>Que ascazo nos das a los españoles @gabrielrufian La desgracia es que estás cobrando de nuestros impuestos, porque el sistema electoral lo permite...por el momento.Cuando llegue @Santi_ABASCAL @vox_es al Congreso, con varios millones de votos, otro gallo te cantará, golpista. RT @JaumeVivesVives: VENGA, @gabrielrufian, CASTIGADO SIN PATIO POR MALEDUCADO</t>
  </si>
  <si>
    <t>https://twitter.com/JaumeVivesVives/status/1065177709272285184</t>
  </si>
  <si>
    <t>pic.twitter.com/foCEgeZusl</t>
  </si>
  <si>
    <t>AMENAZANDO A LOS ANDALUCES...DE VERGÜENZA! TODOS EN MASA A VOTAR A @Santi_ABASCAL</t>
  </si>
  <si>
    <t>https://www.elconfidencial.com/espana/andalucia/2015-03-25/esto-es-asi-si-el-psoe-no-gana-os-quedais-sin-trabajo-salid-a-la-calle-a-hacer-campana_734366/</t>
  </si>
  <si>
    <t>Rafael</t>
  </si>
  <si>
    <t>Dejaros de mariconadas y empezar a trabajar seriamente por España. Aunque creo que vuestro tiempo pasó, la última esperanza que tenemos es @Santi_ABASCAL RT @PPopular: RT si tú también hubieras expulsado hoy del Congreso a Gabriel Rufián.</t>
  </si>
  <si>
    <t>https://twitter.com/PPopular/status/1065179372133335040</t>
  </si>
  <si>
    <t>https://pbs.twimg.com/media/DshG_RRUcAARW40.jpg</t>
  </si>
  <si>
    <t xml:space="preserve">Salamanca, España. </t>
  </si>
  <si>
    <t>Abogado y asesor. Ganadero de Morucho Selecto. Católico. Taurino. Eterno aprendiz y apasionado de la ganadería y la viticultura. «Mateo 5.6» España una.</t>
  </si>
  <si>
    <t>Que le pague el sueldo a este HP su PM.... Pásalo!!!!! LO SIENTO ESPAÑOLITO..LO SEGUIRÁS PAGANDO TU HASTA QUE NO VENGA @Santi_ABASCAL A LIBRARNOS DE ESTA BASURA..TODOS EN MASA A VOTAR @vox_es</t>
  </si>
  <si>
    <t>https://pbs.twimg.com/media/DshnPr8WoAAKGuM.jpg</t>
  </si>
  <si>
    <t>Hay que ilegalizar a toda esta gentuza que nada positivo hace por España y lo hará el GRAN @Santi_ABASCAL</t>
  </si>
  <si>
    <t>https://www.cope.es/actualidad/espana/noticias/borrell-denuncia-que-diputado-erc-escupio-hemiciclo-elogia-actuacion-ana-pastor-20181121_296941</t>
  </si>
  <si>
    <t>Pipe 🇪🇸🗽🐸</t>
  </si>
  <si>
    <t>Si uno de ERC escupe a Borrel, el cual dice que Cataluña es una nación y siendo ambos de partidos que ha pactado la legislatura ¿qué harán con @Santi_ABASCAL cuando le oigan en el Congreso? RT @OrbitaEduardo: Asi empezó la "GUERRA CIVIL ESPAÑOLA". "ESCUPIENDO Y DESPUÉS ASESINANDO". Y "VAYA POR DONDE", por "CATALUÑA CON LAS CHECAS DE ERC", Antes los asesinatos de Companys. El odio de los independentistas Catalanes y la Izmierda es CRÓNICO.</t>
  </si>
  <si>
    <t>https://twitter.com/OrbitaEduardo/status/1065199177825685504</t>
  </si>
  <si>
    <t>pic.twitter.com/2Sm6lIan8C</t>
  </si>
  <si>
    <t>Salamanca - Aluche (Madrid)</t>
  </si>
  <si>
    <t>Me preocupa el futuro de España/ El socialismo interrumpe la evolución humana y el progreso individual/ Minarquista-conservador-patriota/ Militante de Vox</t>
  </si>
  <si>
    <t>http://www.youtube.com/user/25Pipe69/videos</t>
  </si>
  <si>
    <t>Memeses2</t>
  </si>
  <si>
    <t>Anda que no vais a tener trabajo @vox_es @Santi_ABASCAL si llegáis al congreso, PSOE lleno de casos de corrupción, estafas, impuestos, casas, títulos... de todos sus ministros, luego se permiten el lujo de criticar a los demás 😓 😷🌹☭ RT @Mariagtriana: José Luis Ábalos enchufó a su mujer como tesorera de su fundación regada con 4,9 millones públicos .➡️Cuentas Opacas, qué la Empresa al día de hoy ,se niegan a Aclarar.Pues qué Actúe La Fiscalía .O estos son INTOCABLES al igual Qué Andalucia?⬇️⬇️⬇️⬇️⬇️</t>
  </si>
  <si>
    <t>https://twitter.com/Mariagtriana/status/1065184348561960960
https://okdiario.com/espana/comunidad-valenciana/2018/11/21/abalos-enchufo-mujer-como-tesorera-fundacion-regada-49-millones-publicos-3368860#.W_Utbr_058A.twitter</t>
  </si>
  <si>
    <t>Me quitaron la cuenta anterior Memeses... Políticamente correcto antizquierdas. Comunistas, socialistas y demás trolls de izquierdas bloqueo automático. 😓😷☭🌹</t>
  </si>
  <si>
    <t>RGarcia</t>
  </si>
  <si>
    <t>Cada día que pasa @vox_es y @Santi_ABASCAL reciben nuevas etiquetas a modo de insulto. Pienso que este manifiesto deberia ser firmado por todos, dejando a un lado los colores políticos de cada uno. Sintiendo empatia por las victimas y los familiares y amigos de estas. RT @vox_es: 📝 VOX firma el manifiesto de la asociación Dignidad y Justicia que exige al Gobierno poner fin a las concesiones a los presos de ETA. ✅ Ni una concesión más a los terroristas. No más humillaciones a las víctimas.</t>
  </si>
  <si>
    <t>https://twitter.com/vox_es/status/1064882724274618368</t>
  </si>
  <si>
    <t>pic.twitter.com/Jt1kj5mXLf</t>
  </si>
  <si>
    <t>La Línea de la Concepción</t>
  </si>
  <si>
    <t>Diplomado Ciencias Empresariales.</t>
  </si>
  <si>
    <t>Rossina</t>
  </si>
  <si>
    <t>Érase una vez Santi Abascal y Albert Rivera viviendo una historia de amor en ‘El Gato al Agua’ -</t>
  </si>
  <si>
    <t>Albe(r)t Enríquez</t>
  </si>
  <si>
    <t>https://www.publico.es/tremending/2018/10/09/erase-una-vez-santi-abascal-y-albert-rivera-viviendo-una-historia-de-amor-en-el-gato-al-agua/</t>
  </si>
  <si>
    <t>Que cambiado esta @Santi_ABASCAL RT @ZacEfron: Mi nueva amiga Amapola 🐎</t>
  </si>
  <si>
    <t>Roja, de convicciones fuertes, Igualitaria.</t>
  </si>
  <si>
    <t>La tiranía totalitaria no se edifica sobre las virtudes de los totalitarios sino sobre las faltas de los demócratas.</t>
  </si>
  <si>
    <t>EL PP ESTÁ PRINGADO DE CORRUPCIÓN Y ES EL HAZMERREÍR DE ESPAÑA Y DE EUROPA Y @vox_es DEL GRAN @Santi_ABASCAL LE ESTÁ QUITANDO A SUS VOTANTES RÁPIDO...Y AHORA RESULTA QUE EL MAYOR Y MÁS PELIGROSO ENEMIGO DEL PP NO SON PSOE NI PODEMOS...ES VOX...🤣🤣🤣🤣🤣🤣🤣🤣🤣🤣🤣🤣</t>
  </si>
  <si>
    <t>https://pbs.twimg.com/media/DshTPvrWsAEaV66.jpg</t>
  </si>
  <si>
    <t>Jaume Pascual Jorda</t>
  </si>
  <si>
    <t>¿Como estan ustedes? @Albert_Rivera @CiudadanosCs 🥰😘 a sus compañeros de viaje @vox_es @Santi_ABASCAL Como normalizar a la extrema derecha… así nos va.. y después nos lamentaremos</t>
  </si>
  <si>
    <t>https://www.publico.es/politica/ciudadanos-rivera-cierra-banda-tres-ocasiones-no-decir-vox-extrema-derecha.html</t>
  </si>
  <si>
    <t>Alqueria d'Asnar</t>
  </si>
  <si>
    <t>http://www.dimonisrafolins.com</t>
  </si>
  <si>
    <t>Manuel Díaz</t>
  </si>
  <si>
    <t>Cuanto mas vamos a tener que mantener las payasadas de @gabrielrufian con el dinero de todos los españoles ??? @sanchezcastejon @pablocasado_ @Santi_ABASCAL el hemiciclo lo pagamos todos ,y no es la guardería ni la extra escolar de unos pocos ...</t>
  </si>
  <si>
    <t>Huelva, España</t>
  </si>
  <si>
    <t>https://www.voxespana.es/</t>
  </si>
  <si>
    <t>Del atleti y sufridor!</t>
  </si>
  <si>
    <t>SINVERGUENZA!!!! TODOS A VOTAR A @Santi_ABASCAL CONTRA EL RUFIANISMO INSTALADO EN ESPAÑA!!!!URGENTE!</t>
  </si>
  <si>
    <t>https://okdiario.com/espana/2018/11/21/diputado-erc-escupe-ministro-borrell-ser-expulsado-rufian-del-hemiciclo-3374692</t>
  </si>
  <si>
    <t>ElDoctorMabuse</t>
  </si>
  <si>
    <t>No hace falta morir por ello. Con no cagarse cuando aparezca la Cabra tendréis suficiente... Es cuestión de Dodotis, jabón y talco. @hermanntertsch @Santi_ABASCAL @monasterioR @Ortega_Smith @VidalQuadras @josemanuelopazo @carloscuestaEM @AsisTimermans @Gato_directo RT @okdiario: Los medios separatistas lanzan el debate: “¿Estamos dispuestos a morir por la independencia?”</t>
  </si>
  <si>
    <t>https://twitter.com/okdiario/status/1065174522020720641
https://okdiario.com/espana/cataluna/2018/11/21/medios-separatistas-lanzan-debate-estamos-dispuestos-morir-independencia-3372277?utm_campaign=ok&amp;utm_medium=Social&amp;utm_source=Twitter#Echobox=1542791763</t>
  </si>
  <si>
    <t>https://pbs.twimg.com/media/DshClLWX4AE-7VD.jpg</t>
  </si>
  <si>
    <t>Londres, Milán, Viena, París</t>
  </si>
  <si>
    <t>Medicina y Derecho son mi vida. Crítico de cíne y autor. Dirigí el El Laboratorio del Dr Mabuse de RNE1. Escribí en Música de Cine, Sala1 y Preview entre otras.</t>
  </si>
  <si>
    <t>http://laboratorio-mabuse.blogspot.com/</t>
  </si>
  <si>
    <t>Ya cansa tirar tuits a la basura hablando de @Santi_ABASCAL y @vox_es. Pero mira, Santiago: La Andalucía de #BlasInfante es la de la rebeldía ante las causas injustas, la que es humana, la de la paz y la esperanza. Deja de traer tu odio a esta tierra de hombres y mujeres de luz</t>
  </si>
  <si>
    <t>javitxu  </t>
  </si>
  <si>
    <t>Si al que le escupe el retrasado de ERC en vez de a Borrell es a Santi Abascal lo mismo le cruza la cara a ostias ... que ganas de que entre @vox_es en el Congreso</t>
  </si>
  <si>
    <t>Desde @vox_es han aplaudido la decisión del magistrado Marchena. @Santi_ABASCAL ha destacado que el juez "ha dado una lección de dignidad, patriotismo e independencia".</t>
  </si>
  <si>
    <t>ON. #BuenosDías tropa! ¿Quién votará a Vox? -Pues yo, por ejemplo. SIN DUDA ALGUNA 😉 @vox_es @Santi_ABASCAL @voxnoticias_es</t>
  </si>
  <si>
    <t>https://www.larazon.es/local/andalucia/quien-votara-a-vox-AF20614523</t>
  </si>
  <si>
    <t xml:space="preserve">madrid SPAIN </t>
  </si>
  <si>
    <t>kitten dad 🇪🇸 cowboy</t>
  </si>
  <si>
    <t>J.Armando</t>
  </si>
  <si>
    <t>Aprended de nosotros y quererse como buenos hermanos @Santi_ABASCAL @Pablo_Iglesias_ #VivaLaPaz</t>
  </si>
  <si>
    <t>https://pbs.twimg.com/media/DshIWTTXgAA1fIS.jpg</t>
  </si>
  <si>
    <t>HUELVA CUNA DEL FUTBOL, ESPAÑA</t>
  </si>
  <si>
    <t>ESTUDIANTE DE HISTORIA EN LA UHU.REAL CLUB RECREATIVO DE HUELVA 🇪🇸🇪🇸🇪🇸</t>
  </si>
  <si>
    <t>borealis ي ن</t>
  </si>
  <si>
    <t>.@Santi_ABASCAL .@vox_es Vaya, vaya con el comentario racista de uno de los repartidores de carnés de "fachas españolistas"</t>
  </si>
  <si>
    <t>https://pbs.twimg.com/media/DshHTNvXQAE_-Cc.jpg</t>
  </si>
  <si>
    <t>VOX | La Derecha</t>
  </si>
  <si>
    <t>📆 Esta tarde, @Santi_ABASCAL visitará Sevilla 📍 #LaCazaTambiénVota 🦌 #AndalucíaPorEspaña 🗳️ #VOXAvanza #VOXÚtil 💚 #EspañaViva 🇪🇸</t>
  </si>
  <si>
    <t>https://pbs.twimg.com/media/DsfQsJuXQAEgPS8.jpg</t>
  </si>
  <si>
    <t>Cuenta de apoyo a VOX 💚 #EspañaViva #EspañaLoPrimero 🇪🇸</t>
  </si>
  <si>
    <t>Esteban PG</t>
  </si>
  <si>
    <t>Estos son los seguidores catetos y de la ultraderecha de @vox_es y @Santi_ABASCAL increpando y insultando a jóvenes #LGTB que estaban concentrados en Murcia. Deseo con ansia el decreto ley contra el FASCISMO que os pondrá a todos en vuestro sitio. Viva España y no me representais</t>
  </si>
  <si>
    <t>pic.twitter.com/sljXlOQMm5</t>
  </si>
  <si>
    <t>Murcia, España</t>
  </si>
  <si>
    <t>#Murciano🇪🇸 #LGTBI Jamás te conformes con algo inferior a tus sueños,mientras sigas vivo,nada es imposible» #MaMaPaPaSiempreEstareisEnMiCorazon</t>
  </si>
  <si>
    <t>Enigmista_Ita .·.</t>
  </si>
  <si>
    <t>Serrano de @ahorapodemos es un gran Asesor @eduardoinda @pacomarhuenda @Santi_ABASCAL @voxnoticias_es RT @ibepacheco: Alejandro Andrade, uno de los funcionarios del gobierno de Chávez se declara culpable de haber recibido mil millones de dólares en sobornos. Es solo UNO de ellos. Los Maduro-Flores sustituyeron a Andrade rápidamente por su sobrino. El desangre aumentó.</t>
  </si>
  <si>
    <t>http://www.outono.net/elentir/2018/11/18/santiago-abascal-defiende-la-libertad-para-comer-jamon-y-asi-lo-manipulan-algunos/</t>
  </si>
  <si>
    <t>https://twitter.com/ibepacheco/status/1065087047013228544</t>
  </si>
  <si>
    <t>Spagna - Italia - USA</t>
  </si>
  <si>
    <t xml:space="preserve"> “You never know how strong you are, until being strong is your only choice.” BM - Jesus first in my life!!! - Retwits are not endorsements</t>
  </si>
  <si>
    <t>Curro Troya 💪🏻</t>
  </si>
  <si>
    <t>La sangría de votos ultra de @Santi_ABASCAL puede costarle a muchos andaluces que no haya cambio de gobierno en la comunidad #andaluzas2018 RT @joaquintorrevie: Votar a Vox en Andalucia, que tendrá MÁXIMO 0-1 escaño, supone QUITARLE 8 escaños al @ppandaluz y regalarle el Gobierno a Susana Diaz. Piensa bien el destino final de TU VOTO</t>
  </si>
  <si>
    <t>Málaga</t>
  </si>
  <si>
    <t>I'm sorry, I'm just a journalist. My job is not being your pleaser.</t>
  </si>
  <si>
    <t>http://unpobrecitohablador.tumblr.com/</t>
  </si>
  <si>
    <t>Construyendo Exitos [4,6K]</t>
  </si>
  <si>
    <t>Paco M 🇪🇸</t>
  </si>
  <si>
    <t>El líder de VOX, Santi Abascal, pone a Pablo Echenique en su sitio. Venga Echenique, vete a por otra  vía @ElDiestro_</t>
  </si>
  <si>
    <t>La Generalitat reconoce que nunca ha tenido la intención de cambiar su modelo lingüístico en las aulas. Suspensión de la autonomía por rebeldía manifiesta. #eleccioesya @Santi_ABASCAL @rosadiezglez @pablocasado_ @Albert_Rivera  vía @abc_es</t>
  </si>
  <si>
    <t>https://www.abc.es/sociedad/abci-generalitat-reconoce-nunca-tenido-intencion-cambiar-modelo-linguistico-aulas-201811210253_noticia.html</t>
  </si>
  <si>
    <t>https://www.eldiestro.es/2018/10/el-lider-de-vox-santi-abascal-pone-a-pablo-echenique-en-su-sitio-venga-echenique-vete-a-por-otra/</t>
  </si>
  <si>
    <t>● Cuerpo mental funcionando y capaz de grandes cosas. ● Mi currículum: De España 🇪🇸 Desde siempre y para siempre: Español</t>
  </si>
  <si>
    <t>#EleccionesYa Una educación instrumentalizada politica e ideológicamente y en manos de los nacionalistas, es la causa última de los males de España.</t>
  </si>
  <si>
    <t>http://www.profesoresenaccion.com/?p=553</t>
  </si>
  <si>
    <t xml:space="preserve">Polònia </t>
  </si>
  <si>
    <t>Los 20 tuits más RTs de @gabrielrufian @krls @santi_abascal @jordialapreso @veranoelia @joantarda @joninarritu @jorditurull @beatriztalegon @arnaldootegi @ccifuentes @quimtorraipla @juanmarin_cs @albanodante76 el martes 20 de noviembre</t>
  </si>
  <si>
    <t>https://twitter.com/trendinaliaES/timelines/1065124721098801152</t>
  </si>
  <si>
    <t>Más influyentes ahora en Derecha/Centro Dcha.: ➀ @Albert_Rivera ↑↑ ➁ @altamiranoMLG ↑↑ ➂ @pepito_garca ↑↑ ➃ @Nanchinho ↑↑ ➄ @CCivicaCatalana ↓ ➅ @CiudadanosCs ↑↑↑ ➆ @currusquita ↓ ➇ @Santi_ABASCAL ↓ ➈ @ldpsincomplejos ↓</t>
  </si>
  <si>
    <t>Polvo, sudor y hierro</t>
  </si>
  <si>
    <t>España soy yo, España eres tú:  @vox_es @Santi_ABASCAL @Ortega_Smith</t>
  </si>
  <si>
    <t>https://youtu.be/LCuYDw3fBew</t>
  </si>
  <si>
    <t>España es y será un todo o no será nada</t>
  </si>
  <si>
    <t>Kegüay Leonard</t>
  </si>
  <si>
    <t>La táctica frentepopulista, conocida como "tú haz lo que digo, no lo que yo hago" llevada al pie de la letra por @sanchezcastejon y los podemitas mientras hunden a España en la miseria. @vox_es y @Santi_ABASCAL voto útil!</t>
  </si>
  <si>
    <t>https://pbs.twimg.com/media/DsgegU6XQAA4F7r.jpg</t>
  </si>
  <si>
    <t xml:space="preserve">Kripton, Universo </t>
  </si>
  <si>
    <t>En el principio era el Verbo, y el Verbo era con Dios, y el verbo era Dios. Yo soy la voz de uno que clama en el desierto. אני קולו של מי שצועק במדבר</t>
  </si>
  <si>
    <t>Justa Justicia</t>
  </si>
  <si>
    <t>Sigue este hilo @Santi_ABASCAL y dime si tenemos que defender la equiparación salarial de la guardia civil. @vox_es está a favor de ello pero está GC ya está siendo ocupada por el gobierno traidor. Esto se está poniendo muy feo. ¿De que lado está el ejército? Esto ya es Venezuela RT @Alicia63502264: Hoy ha sido la primera vez en mi vida que visitaba el Valle de los Caídos un 20N. Tengo que decir que el comportamiento de la @guardiacivil ha sido vergonzoso e indignante, ¡¡¡ Que bajo habéis caído!!! Más bajo no se puede caer!!!Me da igual que obedezcáis órdenes, me da igual</t>
  </si>
  <si>
    <t>https://twitter.com/Alicia63502264/status/1064914832351248384</t>
  </si>
  <si>
    <t>https://pbs.twimg.com/media/DsdWUdKXoAEFw9Z.jpg</t>
  </si>
  <si>
    <t>sp</t>
  </si>
  <si>
    <t>Español? siiiiii Patriota? siiiiiii Comunista? 🖕De podemos? 🤘🖕🖕 De derechas? 👌🤚🇪🇸</t>
  </si>
  <si>
    <t>Más influyentes ahora en Derecha/Centro Dcha.: ➀ @Albert_Rivera ↑ ➁ @altamiranoMLG ↓ ➂ @pepito_garca ↓ ➃ @Nanchinho ↓ ➄ @alhucema66 ↓ ➅ @Santi_ABASCAL ↑↑ ➆ @CCivicaCatalana ↑↑ ➇ @currusquita ↑↑ ➈ @ldpsincomplejos ↑</t>
  </si>
  <si>
    <t>Tabarnians</t>
  </si>
  <si>
    <t>Si, según @JoanTarda, el fascista es @Albert_Rivera, entonces @Santi_ABASCAL es hiper-extra-ultra-cojo-facha</t>
  </si>
  <si>
    <t>Tabarnia transversal</t>
  </si>
  <si>
    <t>Primero Franco y luego la Generalitat, #Tabarnia lleva ya demasiados años intervenida.</t>
  </si>
  <si>
    <t>Vox Cártama 🇪🇸 Que no le quepa duda a nadie 📣 "Vamos a combatir a todos aquellos que quieren convertir en una mezquita la Catedral de Córdoba" @VoxCordoba @Santi_ABASCAL #AndalucíaPorEspaña #VotaVOX #2D</t>
  </si>
  <si>
    <t>https://pbs.twimg.com/media/DsgBNTcX4AAjhSI.jpg</t>
  </si>
  <si>
    <t>Liud</t>
  </si>
  <si>
    <t>Alba</t>
  </si>
  <si>
    <t>Hola, Santiago. Antes de nada decirte que me encanta tu papel como presentador de ''la forja''. Quisiera saber si podrías decir en tu próximo discurso que ''este cuchillo no corta el bacalao''. Gracias. Te quiero. Santi, te QUIERO. @Santi_ABASCAL</t>
  </si>
  <si>
    <t>Le ha salido competencia a Santi Abascal RT @ZacEfron: Mi nueva amiga Amapola 🐎</t>
  </si>
  <si>
    <t>Sevilla, España</t>
  </si>
  <si>
    <t>R'lyeh</t>
  </si>
  <si>
    <t>Arena, rojo ceniza. Once again!</t>
  </si>
  <si>
    <t>https://www.instagram.com/lhgs35/</t>
  </si>
  <si>
    <t>Que nada nos defina. Que nada nos sujete. Que la libertad sea nuestra propia sustancia' - Simone de Beauvoir</t>
  </si>
  <si>
    <t>https://youtu.be/uc7nbZ5FRso</t>
  </si>
  <si>
    <t>Más comentados ahora en Derecha/Centro Dcha.: ➀ @Albert_Rivera ↓ ➁ @sanchezcastejon ↓ ➂ @PSOE ➃ @ldpsincomplejos ↓ ➄ @Nanchinho ↑↑ ➅ @hermanntertsch ➆ @gabrielrufian ↑ ➇ @alhucema66 ↓ ➈ @Santi_ABASCAL ↑</t>
  </si>
  <si>
    <t>Más influyentes ahora en Derecha/Centro Dcha.: ➀ @Albert_Rivera ↓ ➁ @Nanchinho ↑↑ ➂ @alhucema66 ↑ ➃ @hermanntertsch ➄ @CCivicaCatalana ↑ ➅ @Anonymus_ES ↑↑ ➆ @pepito_garca ↓ ➇ @Santi_ABASCAL ↑ ➈ @CristinaSegui_ ↑</t>
  </si>
  <si>
    <t>Más comentados ahora en Derecha/Centro Dcha.: ➀ @Albert_Rivera ↓ ➁ @sanchezcastejon ↓ ➂ @Santi_ABASCAL ➃ @CCivicaCatalana ↓ ➄ @PSOE ↑ ➅ @ldpsincomplejos ↓ ➆ @susanadiaz ↑ ➇ @spiriman ↑ ➈ @currusquita ↑</t>
  </si>
  <si>
    <t>Málaga Hoy</t>
  </si>
  <si>
    <t>Nuevo lleno de @vox_es, esta vez en Chiclana, donde Santiago Abascal @Santi_abascal fue a presentar el libro ‘La España Viva’</t>
  </si>
  <si>
    <t>http://malagah.info/bnjw01</t>
  </si>
  <si>
    <t>Más influyentes ahora en Derecha/Centro Dcha.: ➀ @Albert_Rivera ↓ ➁ @Santi_ABASCAL ➂ @CCivicaCatalana ↓ ➃ @ldpsincomplejos ➄ @currusquita ↑ ➅ @altamiranoMLG ↓ ➆ @MariaTabarnia ↑ ➇ @pepito_garca ↑ ➈ @CiudadanosCs</t>
  </si>
  <si>
    <t>Málaga (Andalucía, España)</t>
  </si>
  <si>
    <t>La redacción de Málaga Hoy te cuenta la última hora. Todo el deporte lo tienes también en @malagahoydxt // Director: @amendezn // local@malagahoy.es</t>
  </si>
  <si>
    <t>http://www.malagahoy.es</t>
  </si>
  <si>
    <t>El viejo Nuevo</t>
  </si>
  <si>
    <t>Santi Abascal esta muy cambiado RT @ZacEfron: Mi nueva amiga Amapola 🐎</t>
  </si>
  <si>
    <t>GranadaHoy</t>
  </si>
  <si>
    <t>Pues que se queden sentados no, tumbaditos porque ninguno de los 4 nos sirven a millones de Andaluces: te doy la MEJOR OPCIÓN = @vox_es ,@Santi_ABASCAL @Ortega_Smith @pedro_fhz @JuanCarlosSanzM 💪✔️💚✖️🇪🇸. Los demás me sobran. RT @Bcnisnotcat_: 💃 ¿Quién te gustaría que ganara las elecciones en Andalucía? (Solo se pueden poner 4 partidos y hemos escogido los 4 que tienen más opciones)</t>
  </si>
  <si>
    <t>https://twitter.com/Bcnisnotcat_/status/1064919491598041089</t>
  </si>
  <si>
    <t>http://granadah.info/z7j1k1</t>
  </si>
  <si>
    <t>Komuna Lageristica de los Zulo</t>
  </si>
  <si>
    <t>Granada</t>
  </si>
  <si>
    <t>Futuro veterinario un poco punkarra. Juego al rugby... o al menos lo intento. Dicen por ahi que soy escritor, pero es mentira. Soy como un perrete enorme.</t>
  </si>
  <si>
    <t>Diario de información general de Granada</t>
  </si>
  <si>
    <t>http://elkomunal.simplesite.com/</t>
  </si>
  <si>
    <t>http://www.granadahoy.com</t>
  </si>
  <si>
    <t>Sandrah</t>
  </si>
  <si>
    <t>Qué es hipocresía? Dices celebrando el voto femenino mientras @PSOE gobierna sin elecciones ¿Qué es hipocresía, y tú lo preguntas? Hipocresía eres tú. #EleccionesYa #EleccionesAndaluzas #SanchezCumFraude @Santi_ABASCAL @vox_es #EspañaViva RT @carmencalvo_: Tal día como hoy hace 85 años las mujeres votaron en España por primera vez. Mi agradecimiento a todas aquéllas que lucharon por abrir ese camino de justicia e igualdad que tanto supuso para nuestra democracia.</t>
  </si>
  <si>
    <t>Diario de Cádiz</t>
  </si>
  <si>
    <t>https://twitter.com/carmencalvo_/status/1064437830687047680</t>
  </si>
  <si>
    <t>pic.twitter.com/PRw1rfwkdC</t>
  </si>
  <si>
    <t>http://ddcadiz.info/bim2s1</t>
  </si>
  <si>
    <t>Entidad biológica multidisciplinar...</t>
  </si>
  <si>
    <t>Cádiz</t>
  </si>
  <si>
    <t>Diario de Cádiz. Decano de la prensa andaluza. Fundado en 1867</t>
  </si>
  <si>
    <t>http://www.diariodecadiz.es/</t>
  </si>
  <si>
    <t>Más influyentes ahora en Derecha/Centro Dcha.: ➀ @Albert_Rivera ↓↓ ➁ @pepito_garca ↓↓ ➂ @hermanntertsch ↓↓ ➃ @currusquita ↓ ➄ @Nanchinho ↓↓ ➅ @alhucema66 ↓↓ ➆ @Santi_ABASCAL ↓ ➇ @MariaTabarnia ↓ ➈ @ldpsincomplejos ↑</t>
  </si>
  <si>
    <t>El Día de Córdoba</t>
  </si>
  <si>
    <t>http://edcordoba.info/1trr21</t>
  </si>
  <si>
    <t>Córdoba - España</t>
  </si>
  <si>
    <t>Diario local de información de Córdoba y su provincia perteneciente al Grupo Joly.</t>
  </si>
  <si>
    <t>http://eldiadecordoba.es</t>
  </si>
  <si>
    <t>Santiago, si estás despierto hazme una señal @Santi_ABASCAL</t>
  </si>
  <si>
    <t>Diario de Almería</t>
  </si>
  <si>
    <t>http://ddalmeria.info/rndc51</t>
  </si>
  <si>
    <t>Almería</t>
  </si>
  <si>
    <t>Twitter oficial de Diario de Almería, medio de comunicación presente en los quioscos de la provincia de Almería. También en http://www.diariodealmeria.es.</t>
  </si>
  <si>
    <t>http://www.diariodealmeria.es/</t>
  </si>
  <si>
    <t>Pablemos</t>
  </si>
  <si>
    <t>Quiero ver a @Santi_ABASCAL en la Tribuna de Oradores del Congreso de los Diputados llamando a la cara a Pablo Iglesias "Marqués de Galapagar".</t>
  </si>
  <si>
    <t>Español. Contrario al Marxismo económico y al Marxismo Cultural.</t>
  </si>
  <si>
    <t>Huelva Información</t>
  </si>
  <si>
    <t>http://huelvai.info/abn_01</t>
  </si>
  <si>
    <t>Huelva</t>
  </si>
  <si>
    <t>Todos los días te llevamos a tu kiosco y a internet la actualidad de Huelva y su provincia, de Andalucía, España y el Mundo.</t>
  </si>
  <si>
    <t>http://www.huelvainformacion.es/</t>
  </si>
  <si>
    <t>¿ Puedes responder a esto, @Santi_ABASCAL ? RESPONDE a @JUAN_JARA_ESP ? a ver si puedes ! @vox_es #VOX @TamaraLempicka4 @noe__info @noticiastodaymb @entrammbasaguas @Taxitronco @RobinDelaCausa @mumaigohereca @KHOQUORUM @afrvet @algucas @corocotta2 @Vox_Cantabria</t>
  </si>
  <si>
    <t>Europa Sur</t>
  </si>
  <si>
    <t>http://eusur.info/hekfc1</t>
  </si>
  <si>
    <t>https://pbs.twimg.com/media/DsfCSAaW0AE0vF5.jpg</t>
  </si>
  <si>
    <t>Diario independiente del Campo de Gibraltar</t>
  </si>
  <si>
    <t>http://www.europasur.es</t>
  </si>
  <si>
    <t>Diario de Jerez</t>
  </si>
  <si>
    <t>Pepelu Fdez d Tejada 🇪🇸</t>
  </si>
  <si>
    <t>No se por qué me da que @vox_es va a dar una sorpresa en #Andalucía y en el resto de #España. Y algunos seguirán preguntandose cómo ha podido pasar esto, pues preguntenselo a @Santi_ABASCAL se lo dirá alto y claro. #AquíNoHayComplejos RT @vox_es: 🚨🚨🚨 Ahora mismo en Córdoba ⤵ 📢 La #EspañaViva vuelve a demostrar que VOX es más que un partido, es la esperanza de miles de andaluces que este 2 de diciembre dirán basta a los de siempre 🇪🇸💪</t>
  </si>
  <si>
    <t>http://ddjerez.info/bs7v51</t>
  </si>
  <si>
    <t>https://twitter.com/vox_es/status/1064966157189435392</t>
  </si>
  <si>
    <t>Jerez de la Frontera</t>
  </si>
  <si>
    <t>Diario independiente de Jerez de la Frontera.</t>
  </si>
  <si>
    <t>http://www.diariodejerez.es/</t>
  </si>
  <si>
    <t>pic.twitter.com/F18eLKasbA</t>
  </si>
  <si>
    <t>Sevilla/Badajoz</t>
  </si>
  <si>
    <t>Ganadero. El campo,el caballo y el toro mi vida. Colaborador en: @R_caballoytoro, @torosevilla y @elcorreoex Mis opiniones son mías y de nadie más.</t>
  </si>
  <si>
    <t>https://casoaislado.com/santiago-abascal-lo-deja-claro-campo-gibraltar-gibraltar-espanol/</t>
  </si>
  <si>
    <t>Qué tristeza!! @voxnoticias_es @Santi_ABASCAL RT @clubdeviernes: Campamentos comunistas donde se instruye a jóvenes en la violencia y se les adoctrina en una ideología genocida anulando la individualidad ... está pasando en España</t>
  </si>
  <si>
    <t>https://twitter.com/clubdeviernes/status/1064610639082151936</t>
  </si>
  <si>
    <t>pic.twitter.com/TMzrcZfQLu</t>
  </si>
  <si>
    <t>El PSOE parece una plataforma de asistencia a dictaduras criminales en apuros @vox_es @Santi_ABASCAL RT @hermanntertsch: Con Sánchez en Cuba y Zapatero en Venezuela, ambos esforzados en proteger a estos regímenes, el PSOE parece una plataforma de asistencia a dictaduras criminales en apuros.</t>
  </si>
  <si>
    <t>Diario de Sevilla</t>
  </si>
  <si>
    <t>https://twitter.com/hermanntertsch/status/1064788266937970689
https://www.abc.es/opinion/abci-viaje-cuba-201811200137_noticia.html</t>
  </si>
  <si>
    <t>http://ddsevilla.info/bi1p_1</t>
  </si>
  <si>
    <t>bond james bond🇬🇧</t>
  </si>
  <si>
    <t>Falta @Santi_ABASCAL @vox_es que será quien tenga la llave RT @Bcnisnotcat_: 💃 ¿Quién te gustaría que ganara las elecciones en Andalucía? (Solo se pueden poner 4 partidos y hemos escogido los 4 que tienen más opciones)</t>
  </si>
  <si>
    <t>Sevilla, Spain</t>
  </si>
  <si>
    <t>Diario de información general, Sevilla. Newspaper, Seville.</t>
  </si>
  <si>
    <t>http://www.diariodesevilla.es</t>
  </si>
  <si>
    <t>https://twitter.com/bcnisnotcat_/status/1064919491598041089</t>
  </si>
  <si>
    <t>Me dicen de mis servicios secretos que.......🇪🇸</t>
  </si>
  <si>
    <t>3500 PERSONAS EN EL MITIN DE VOX EN MÁLAGA @vox_es @Santi_ABASCAL @RSInews  vía @YouTube</t>
  </si>
  <si>
    <t>https://youtu.be/DS7bzbkwbRM</t>
  </si>
  <si>
    <t>@ARMANII_78</t>
  </si>
  <si>
    <t>Gracias @Santi_ABASCAL por tu presencia hoy en CÓRDOBA, Eres muy grande Santi.Todo mi apoyo 💪@vox_es @VoxCordoba @VoxAlemania @voxnoticias_es @Ortega_Smith</t>
  </si>
  <si>
    <t>pic.twitter.com/RAXJ4GvaaS</t>
  </si>
  <si>
    <t>Azote de las Picas</t>
  </si>
  <si>
    <t>Que dice un tal Pablo Simón (politólogo) en el programa @puntodemira_tv emitido en @cuatro que @vox_es es franquista, a pesar de decir que no en ese programa @monasterioR. Que opinais @Santi_ABASCAL @Ortega_Smith de estos mentirosos manipuladores.</t>
  </si>
  <si>
    <t>En este país sobran tontos y faltan locos.</t>
  </si>
  <si>
    <t>Pedro Bayonas</t>
  </si>
  <si>
    <t>Verde color esperanza, la misma que ha vuelto a despertar en tantísimos Españoles que encuentran cobijo entre quienes también defienden, ante todo, a España. #vox @Santi_ABASCAL @Ortega_Smith @vox_es RT @vox_es: 🚨🚨🚨 Ahora mismo en Córdoba ⤵ 📢 La #EspañaViva vuelve a demostrar que VOX es más que un partido, es la esperanza de miles de andaluces que este 2 de diciembre dirán basta a los de siempre 🇪🇸💪</t>
  </si>
  <si>
    <t>Patriota en Catalunya | Defensor de los valores nacionales y de su historia | Estudiante de historia | Juego a Rugby | PRO DEO ET PATRIA.</t>
  </si>
  <si>
    <t>VOX_Guadalajara</t>
  </si>
  <si>
    <t>#AgendaVOX #21Nov en #Sevilla a las 19h. #LaCazaTambiénVota encuentro con @Santi_ABASCAL ¡Ven y defiende tu modo de vida!</t>
  </si>
  <si>
    <t>https://pbs.twimg.com/media/DsexR8VW0AES663.jpg</t>
  </si>
  <si>
    <t>Guadalajara</t>
  </si>
  <si>
    <t>Cuenta oficial de Vox en Guadalajara.</t>
  </si>
  <si>
    <t>http://www.voxespana.es/guadalajara</t>
  </si>
  <si>
    <t>elDebate.es</t>
  </si>
  <si>
    <t>Joaquin Manuel Baena</t>
  </si>
  <si>
    <t>Grandísima persona y mejor candidato para cambiar Andalucía, y por añadidura España . Un abrazo siempre de tu amigo Califa. J.B. @FSerranoCastro @vox_es @Santi_ABASCAL</t>
  </si>
  <si>
    <t>https://pbs.twimg.com/media/Dsety8kWsAA9vG-.jpg</t>
  </si>
  <si>
    <t>JOTAERRE D LA GHETTO</t>
  </si>
  <si>
    <t>Han llamado a mi hermano para hacer de extra en la nueva temporada de La Peste. Me imagino que es ciencia ficción porque hace de esclavo africano y EN EJPAÑA NUNCA HUBO ESCLAVOS, que lo dice santi abascal, pío moa y los descendientes de fray bartolomé de las casas.</t>
  </si>
  <si>
    <t>Nadie habla de ello. Nosotros sí.</t>
  </si>
  <si>
    <t>https://eldebate.es/</t>
  </si>
  <si>
    <t>Córdoba</t>
  </si>
  <si>
    <t>Gladiador de los tiempos que nos toco vivir. luchador por los derechos de los menores y la igualdad efectiva. buscador eterno de la razón y el verdadero amor.</t>
  </si>
  <si>
    <t>ARTIST &amp; Ineco Founder. 1'7%</t>
  </si>
  <si>
    <t>Carmina</t>
  </si>
  <si>
    <t>Mira @Santi_ABASCAL, te están dejando La Moncloa bien preparada. #yovotovox. Sánchez gasta cerca de un millón de euros para poner a punto la luz y la calefacción de La Moncloa</t>
  </si>
  <si>
    <t>https://okdiario.com/espana/2018/11/20/sanchez-gasta-cerca-millon-euros-poner-punto-luz-calefaccion-moncloa-3372360/amp</t>
  </si>
  <si>
    <t>Fuentes de León.</t>
  </si>
  <si>
    <t>Soy facha. 🇪🇸🇪🇸🇪🇸🇪🇸</t>
  </si>
  <si>
    <t>Alfonso Español #VOX</t>
  </si>
  <si>
    <t>Ésta es la asquerosa manipulación de @cuatro , superponiendo la foto de @Santi_ABASCAL en #PuntoFranquistas , un reportaje sobre españoles que añoran el pasado. 🔴 Lo sentimos, pero @vox_es mira al futuro. Y el futuro es la #EspañaViva</t>
  </si>
  <si>
    <t>Jaén, España.</t>
  </si>
  <si>
    <t>Hola a todos, soy un sevillano que nació en Alemania y vive y trabaja allí! He elegido el PP hasta ahora pero eso ha cambiado Ahora mi voz pertenece a VOX porque me encantan los discursos de Santiago Abascal! @Santi_ABASCAL @pablocasado_</t>
  </si>
  <si>
    <t>Demasiadas veces la cobardía se disfraza de tolerancia. Yo animo a ser valientes contra los que quieren destrozar España: únete a Vox. Abstenerse acomplejados.</t>
  </si>
  <si>
    <t>Asociación AAEMTJ</t>
  </si>
  <si>
    <t>Gracias Sr. @Santi_ABASCAL por el trato y respeto en la exposición de nuestro trabajo por reabrir nuestra Escuela Municipal de Tauromaquia de Jerez fundada 1986 @AAETPedroRomero</t>
  </si>
  <si>
    <t>https://pbs.twimg.com/media/DsemJkTWoAE5YC1.jpg</t>
  </si>
  <si>
    <t>AAS</t>
  </si>
  <si>
    <t>Que haces @Santi_ABASCAL, cosas fachas?</t>
  </si>
  <si>
    <t>Mas allá del muro</t>
  </si>
  <si>
    <t>Homeópata alternativo: uso ingredientes activos reales, con efectividad contrastada y perfil de seguridad aceptablemente bueno. Algunos dirán que eso es médico</t>
  </si>
  <si>
    <t>Low Quality Memes</t>
  </si>
  <si>
    <t>Juro que creía que era otra vez Santi Abascal RT @ZacEfron: Mi nueva amiga Amapola 🐎</t>
  </si>
  <si>
    <t>Más influyentes ahora en Derecha/Centro Dcha.: ➀ @Albert_Rivera ↓ ➁ @alhucema66 ↓ ➂ @pepito_garca ↑ ➃ @Nanchinho ↑ ➄ @jordi_canyas ↑ ➅ @Santi_ABASCAL ↓ ➆ @Cs_Andalucia ↑ ➇ @ldpsincomplejos ↑ ➈ @CiudadanosCs ↓</t>
  </si>
  <si>
    <t>Españita</t>
  </si>
  <si>
    <t>Esto empezó siendo una cuenta normal, pero ahora solo es Shitposting y clipping depression.</t>
  </si>
  <si>
    <t>Tras 40 años de escándalos y pobreza con el PSOE y tras 40 años con una oposición incapaz de ponerle fin a la situación, @vox_es se convierte en la esperanza y en la ilusión de miles de andaluces. Porq el #2d marque un antes y un después en #Andalucia. Gran trabajo @Santi_ABASCAL RT @vox_es: 🚨🚨🚨 Ahora mismo en Córdoba ⤵ 📢 La #EspañaViva vuelve a demostrar que VOX es más que un partido, es la esperanza de miles de andaluces que este 2 de diciembre dirán basta a los de siempre 🇪🇸💪</t>
  </si>
  <si>
    <t>TopInfluencers(beta)</t>
  </si>
  <si>
    <t>Top 100 influencers en Políticos N. - PTS - Cuenta 22. 59 @Santi_ABASCAL 23. 59 @ccifuentes 24. 58 @antoniobanos_</t>
  </si>
  <si>
    <t>http://bit.ly/2A42CoE</t>
  </si>
  <si>
    <t>Rankings del Klout Score en España (Beta) Acerca de http://topinfluencers.es/acerca-de/ Not in any way affiliated with @Klout or http://klout.com.</t>
  </si>
  <si>
    <t>http://topinfluencers.es</t>
  </si>
  <si>
    <t>Wigue</t>
  </si>
  <si>
    <t>Hilo sobre el artículo de la Constitución que más le gusta a @Santi_ABASCAL y a buena parte de las Fuerzas Armadas, el artículo 30:</t>
  </si>
  <si>
    <t>https://pbs.twimg.com/media/DsejN6qWwAEjPch.jpg</t>
  </si>
  <si>
    <t>❄️Wishful Thinking ❄️</t>
  </si>
  <si>
    <t>Ojalá Santi Abascal haciendo un meme review</t>
  </si>
  <si>
    <t>.@vox_es defiende el mundo de la caza y todas nuestras tradiciones. Encuentro de @Santi_ABASCAL con cazadores. Porque #LaCazaTambienVota</t>
  </si>
  <si>
    <t>https://pbs.twimg.com/media/DsegT5-WsAIQa4c.jpg</t>
  </si>
  <si>
    <t>Hago cosas en 3D, me gustan el cine, los perretes y la música de intensitos.</t>
  </si>
  <si>
    <t>https://www.instagram.com/_softc0re/</t>
  </si>
  <si>
    <t>Liberal Enfurruñada</t>
  </si>
  <si>
    <t>Estos que veis ahí llenando la sala no son cargos públicos nombrados a dedo ni miembros de ninguna lista de la que se caen si faltan, no. Esto son personas esperanzadas al ver que por fin alguien les escucha y habla como ellos. ¡Bravo @Santi_ABASCAL! RT @vox_es: 🚨🚨🚨 Ahora mismo en Córdoba ⤵ 📢 La #EspañaViva vuelve a demostrar que VOX es más que un partido, es la esperanza de miles de andaluces que este 2 de diciembre dirán basta a los de siempre 🇪🇸💪</t>
  </si>
  <si>
    <t>Por la libertad, así como por la honra, se puede y debe aventurar la vida. @okdiario https://www.facebook.com/muyliberal Frases Liberales: https://goo.gl/5dpESU</t>
  </si>
  <si>
    <t>https://okdiario.com/autor/liberal</t>
  </si>
  <si>
    <t>Pa'l arrastre</t>
  </si>
  <si>
    <t>Este gobierno suscita un cachondeo de proporciones épicas. @vox_es @Santi_ABASCAL @Ortega_Smith @monasterioR RT @ReutersSonyaD: The dangers of using automatic translation on websites: Spanish Industry Ministry main news item about a lady named Dolores del Campo appears on English website as 'It is pain of field ... ' 🤔</t>
  </si>
  <si>
    <t>https://twitter.com/ReutersSonyaD/status/1064468533374058496</t>
  </si>
  <si>
    <t>https://pbs.twimg.com/media/DsW-fHxWkAAQncP.jpg</t>
  </si>
  <si>
    <t>Third rock from the sun.</t>
  </si>
  <si>
    <t>Sinceramente el mundo me gusta cada vez menos. Bloqueo a la primera falta.</t>
  </si>
  <si>
    <t>📸 Visita de @Santi_ABASCAL, @FSerranoCastro y @AlejandroHVCord a la Catedral de Córdoba ✅ Defendemos su catolicidad, combatiremos a todos aquellos que quieran convertirla en una mezquita y perseguiremos la propagación del integrismo islámico #AndalucíaPorEspaña @VoxCordoba</t>
  </si>
  <si>
    <t>https://pbs.twimg.com/media/DseZjbHWsAA2n38.jpg</t>
  </si>
  <si>
    <t>Antonio Javier</t>
  </si>
  <si>
    <t>Capitán de Maquinas de la Armada Española</t>
  </si>
  <si>
    <t>Más comentados ahora en Derecha/Centro Dcha.: ➀ @Albert_Rivera ↑ ➁ @sanchezcastejon ↓ ➂ @pepito_garca ↑ ➃ @PSOE ↑ ➄ @CiudadanosCs ↓ ➅ @susanadiaz ↓ ➆ @Santi_ABASCAL ↑ ➇ @Nanchinho ↓ ➈ @currusquita ↓ ➉ @PPopular ↓</t>
  </si>
  <si>
    <t>Álex Rguez SALVAR MARTA</t>
  </si>
  <si>
    <t>Inserte vídeo echándose flores con Santi Abascal en intereconomía. RT @La_SER: Albert Rivera evita calificar a Vox como un partido de ultraderecha La entrevista completa del líder de @CiudadanosCs en @HoyPorHoy con @PepaBueno →</t>
  </si>
  <si>
    <t>Islamabad</t>
  </si>
  <si>
    <t>Crucé un par de palabritas con Liam Gallagher y Noel Gallagher me ha dado la mano.</t>
  </si>
  <si>
    <t>Más influyentes ahora en Derecha/Centro Dcha.: ➀ @Albert_Rivera ↑ ➁ @pepito_garca ↑ ➂ @Santi_ABASCAL ↑ ➃ @Nanchinho ↓ ➄ @CiudadanosCs ↓ ➅ @currusquita ↓ ➆ @ldpsincomplejos ↓ ➇ @Cs_Andalucia ↓ ➈ @CristinaSegui_ ↑</t>
  </si>
  <si>
    <t>Oscar Soto 🇻🇪🇪🇸</t>
  </si>
  <si>
    <t>Hoy aparecen cuentas "nuevas" de supuestas asociaciones, en guerra sucia contra @vox_es y @Santi_ABASCAL. Se comienza la progresía a preocupar por sus enchufes autonómicos. Es que no podrían por propio esfuerzo.</t>
  </si>
  <si>
    <t>Salamanca, Castilla y León</t>
  </si>
  <si>
    <t>VOXmemes</t>
  </si>
  <si>
    <t>"Hace falta un héroe" @Santi_ABASCAL @vox_es @voxjovenes</t>
  </si>
  <si>
    <t>https://pbs.twimg.com/media/DseVudOWsAIdL1b.jpg</t>
  </si>
  <si>
    <t>Esta cuenta tiene un fin exclusivamente humorístico, si te ofendes viendo estos memes..... lo siento me da que eres un progre</t>
  </si>
  <si>
    <t>Vox Cártama 🇪🇸</t>
  </si>
  <si>
    <t>Cártama, España</t>
  </si>
  <si>
    <t>Cuenta oficial de #VOX Cártama, el único partido de derecha, valiente sin complejos, que no se financia con dinero público. Cambie de siglas pero no de ideas.</t>
  </si>
  <si>
    <t>Silvia Sanz</t>
  </si>
  <si>
    <t>Los radicales de Arran organizan una concentración para boicotear otro acto de @vox_es. Desde twitter lanzan su mensaje de acoso, odio, intimidación y hostigamiento contra el partido político de @Santi_ABASCAL Hay que poner fin a la impunidad de estos violentos.</t>
  </si>
  <si>
    <t>https://pbs.twimg.com/media/DseWBZFXgAASZS4.jpg</t>
  </si>
  <si>
    <t>Periodista. Licenciada en Ciencias de la Información. Editora de contenidos.</t>
  </si>
  <si>
    <t>TU ESTAS PA QUE TE ENCIERREN COMO TODOS LOS DE PODEMOS FUERAAAAAA PERROFLAUTAS LOCOS. TODO EL MUNDO A VOTAR @Santi_ABASCAL RT @CabalManuel: @lunadebenidorm ya a vosotros os gustaria matar a todos los que no piensan como vosotros como hizo el genocida franco</t>
  </si>
  <si>
    <t>https://twitter.com/CabalManuel/status/1064981142925967366</t>
  </si>
  <si>
    <t>Jubeir Cristina</t>
  </si>
  <si>
    <t>MÁXIMA DIFUSIÓN! @ahorapodemos @Irene_Montero_ me vas a denunciar por ésto? @Pablo_Iglesias_ @sanchezcastejon tus amigos @okdiario @elmundoes @Albert_Rivera @abc_es @ElCascabelTRECE @Santi_ABASCAL @pablocasado_ 👎 @MonederoJC @pnique Barrio Salamanca @TRECEAlDia @EspejoPublico</t>
  </si>
  <si>
    <t>pic.twitter.com/ee7D3q2jfK</t>
  </si>
  <si>
    <t>@DIKIssTV @DMAX_es @CineTRECEtv @ELCadcabelTRECE @NatGeoEsp @abc_es @TDTNeox @AdelAljubeir @CanaldeHistoria @Frank_Cuesta (TORPE CON TECLADO, sorry)</t>
  </si>
  <si>
    <t>Piluka</t>
  </si>
  <si>
    <t>Mira @Santi_ABASCAL... al OCUPA LE TRAICIONA EL SUBCONCIENTE 🤨 RT @Proserpinasb: "Las elecciones las convocaré cuando considere que son beneficiosas para el interés general del part...Del país" Qué malo que es el subconsciente</t>
  </si>
  <si>
    <t>Josep L. Cardo</t>
  </si>
  <si>
    <t>https://twitter.com/Proserpinasb/status/1064836103222554624
https://twitter.com/el_pais/status/1064801322623361024</t>
  </si>
  <si>
    <t>#DiaMundialDelRetrete Dia mundial de la boca de Santiago Abascal @Santi_ABASCAL</t>
  </si>
  <si>
    <t>3 CHAMPIONS consecutivas, 13 en TOTAL... entiendo tu envidia🙄 ¡HALA MADRID!</t>
  </si>
  <si>
    <t>Badalona</t>
  </si>
  <si>
    <t>Guionista y fotógrafo. Versión 26.5 de mi mismo.</t>
  </si>
  <si>
    <t>http://joseplcardo.wix.com/joseplcardophoto</t>
  </si>
  <si>
    <t>📹 Charla-coloquio con @Santi_ABASCAL, @Ortega_Smith y @pedro_fhz | La #EspañaViva se volcó en Chiclana en una nueva demostración de fuerza de VOX 🇪🇸 Nos lo jugamos todo en las próximas elecciones para liberar a España de sus enemigos ✅ Vota VOX, vota #AndalucíaPorEspaña</t>
  </si>
  <si>
    <t>pic.twitter.com/C7yAPWFRg1</t>
  </si>
  <si>
    <t>Juanjo</t>
  </si>
  <si>
    <t>Ahora mismo en Córdoba @Santi_ABASCAL</t>
  </si>
  <si>
    <t>https://pbs.twimg.com/media/DseMkNXWwAIcFEY.jpg</t>
  </si>
  <si>
    <t>Manuela Cañadas</t>
  </si>
  <si>
    <t>¿Estará adecuando la Moncloa para @Santi_ABASCAL @pablocasado_ y @Albert_Rivera ??? 🤔🤔🤔</t>
  </si>
  <si>
    <t>Smitty</t>
  </si>
  <si>
    <t>Que guapo sale hoy Santi Abascal. RT @ZacEfron: Mi nueva amiga Amapola 🐎</t>
  </si>
  <si>
    <t>https://okdiario.com/espana/2018/11/20/sanchez-gasta-cerca-millon-euros-poner-punto-luz-calefaccion-moncloa-3372360?utm_campaign=ok&amp;utm_medium=Social&amp;utm_source=Facebook#Echobox=1542741985</t>
  </si>
  <si>
    <t>Lo imposible es lo que no intentas! Presidenta de Convivencia Balear @ConvivenciaBal</t>
  </si>
  <si>
    <t>Soy el TuristaEnTuPelo del football en España. Es decir, soy subnormal. Me puedes escuchar en @RouteRunning y leer en @TheSpanishBowl</t>
  </si>
  <si>
    <t>Y @vox_es CAPITANEADO POR EL GRAN @Santi_ABASCAL SALDRÁ TRIUNFANTE ENTRE LOS CORRUPTOS!</t>
  </si>
  <si>
    <t>Patrito Frito</t>
  </si>
  <si>
    <t>Es gracioso que nos repitan todo el rato "No, España no es USA, aqui no habria ganado Trump". Santi Abascal entrará a caballo en el congreso de los diputados. MARK MY WORDS.</t>
  </si>
  <si>
    <t>https://www.esdiario.com/464800367/Cunde-el-panico-en-el-PSOE-Villarejo-hace-correr-la-voz-de-que-los-aniquilara.html</t>
  </si>
  <si>
    <t>Coruña</t>
  </si>
  <si>
    <t>[HOBI] Un felpudo muy sofisticado. Ya no juego a demasiadas cosas y normalmente no te escucho porque llevo cascos. Computer Science PhD student. SP/GZ/EN/JP OK!</t>
  </si>
  <si>
    <t>http://trigork.github.io</t>
  </si>
  <si>
    <t>Más influyentes ahora en Derecha/Centro Dcha.: ➀ @Albert_Rivera ↓ ➁ @pepito_garca ↓ ➂ @CiudadanosCs ↑ ➃ @Nanchinho ↑ ➄ @currusquita ↓ ➅ @ldpsincomplejos ↓ ➆ @Santi_ABASCAL ↓ ➇ @PPCatalunya ↑ ➈ @Cs_Andalucia ↓</t>
  </si>
  <si>
    <t>Sevilla+INFO</t>
  </si>
  <si>
    <t>"Sicabascal" (El ###SICAB de @Santi_ABASCAL), por @eu_leon #EleccionesAndaluzas  vía @sevillainf</t>
  </si>
  <si>
    <t>https://www.sevillainfo.es/noticias-de-opinion/sicabascal-el-sicab-de-abascal/</t>
  </si>
  <si>
    <t>Más noticias, más actualidad, más #Sevillahoy</t>
  </si>
  <si>
    <t>http://www.sevillainfo.es</t>
  </si>
  <si>
    <t>Más Falso que Judas. A la calle ya este Tío Ya. @Santi_ABASCAL @vox_es RT @jordi_canyas: La hemeroteca de este hombre es tremenda...</t>
  </si>
  <si>
    <t>https://twitter.com/jordi_canyas/status/1064607712988852232</t>
  </si>
  <si>
    <t>Antonio_Delgado</t>
  </si>
  <si>
    <t>pic.twitter.com/Ikt1mhMm5N</t>
  </si>
  <si>
    <t>Que estará pensando Santi Abascal ??? ... 🤔 Aquí monto yo un Mercadona , que pocas cosas hay más españolas y que se jodan los moros</t>
  </si>
  <si>
    <t>https://pbs.twimg.com/media/DsgxkPGXcAAxpNS.jpg</t>
  </si>
  <si>
    <t>Entrevías , Vallekas</t>
  </si>
  <si>
    <t>Mi madre me decía , No eres más tonto porqué no te entrenas ... y aquí estoy , en Twitter dándolo todo 😉</t>
  </si>
  <si>
    <t>Las grandes naciones siempre hayan una salida victoriosa cuando se encuentran en dificultades. Un salto de longitud para dejar atrás cuarenta años de estancamiento en Andalucia. VOTO VOX POR UNA ESPAÑA VIVA Y UNIDA. @FJL_EsRadio @Ortega_Smith @Santi_ABASCAL @monasterioR</t>
  </si>
  <si>
    <t>Santi Abascal Conde Presidente del Partido Politico VOX, sobre EL JUEZ Marchena...... Es una lección de dignidad y honradez. Hay jueces que no se VENDEN.</t>
  </si>
  <si>
    <t>https://www.instagram.com/p/BqasunCAxRx/?utm_source=ig_share_sheet&amp;igshid=tkhn1y5rcwuu</t>
  </si>
  <si>
    <t>https://pbs.twimg.com/media/DsgxPDyXgAAtH_c.jpg</t>
  </si>
  <si>
    <t>El matrimonio de Andalucia con el PSOE después de cuarenta años de infidelidades y corrupción ha llegado a su final. KONEC. THE END. TERMINÓ. @FJL_EsRadio @Ortega_Smith @Santi_ABASCAL @monasterioR VIVA VOX VOTO VOX POR UNA ESPAÑA VIVA SIN CORRUPCIÓN.</t>
  </si>
  <si>
    <t>VOX Andalucia. Jerez de la frontera con Santi Abascal brindando por Andalucía Por España Viva con VOX.</t>
  </si>
  <si>
    <t>https://www.instagram.com/p/BqagdhZgnoZ/?utm_source=ig_share_sheet&amp;igshid=vnlj3xfa00n4</t>
  </si>
  <si>
    <t>Más influyentes ahora en Derecha/Centro Dcha.: ➀ @pepito_garca ↑ ➁ @CiudadanosCs ↓ ➂ @Albert_Rivera ↑↑ ➃ @ldpsincomplejos ↓ ➄ @Tonicanto1 ↑↑ ➅ @currusquita ↑ ➆ @Nanchinho ↑↑↑ ➇ @Santi_ABASCAL ↓ ➈ @Cs_Andalucia ↓</t>
  </si>
  <si>
    <t>Cumpliendo con nuestra campaña #LaCazaTambiénVota, mañana conoceremos las propuestas para la caza de @vox_es de la mano de @Santi_ABASCAL Os invitamos a todos: ➡️ Sevilla ➡️ 19:00 ➡️ Hotel NH Collection</t>
  </si>
  <si>
    <t>https://pbs.twimg.com/media/Dsd7bBFW0AAGF48.jpg</t>
  </si>
  <si>
    <t>8 Chiclana</t>
  </si>
  <si>
    <t>La presentación del libro ‘La España Viva’ convocó anoche a numeroso público en las instalaciones del Pico de Oro  #Chiclana @Santi_ABASCAL</t>
  </si>
  <si>
    <t>https://8cadiz.es/presentacion-libro/</t>
  </si>
  <si>
    <t>La televisión privada de Chiclana. Contacto: noticias@8chiclana.es</t>
  </si>
  <si>
    <t>La humanidad está transitando por instantes complejos. Ser machista parece ser criminal y ser feminista una virtud. La igualdad no se puede imponer. Dividir no edifica. Más bien debilita el pacto social. Viva VOX VOTO VOX. @FJL_EsRadio @Ortega_Smith @Santi_ABASCAL @monasterioR</t>
  </si>
  <si>
    <t>VOX LÉRIDA</t>
  </si>
  <si>
    <t># @VoxLerida @vox_es @Santi_ABASCAL Feliz Navidad</t>
  </si>
  <si>
    <t>pic.twitter.com/Bd1Cktkb1f</t>
  </si>
  <si>
    <t>Lérida, Cataluña</t>
  </si>
  <si>
    <t>Cuenta oficial de VOX en la provincia de Lérida, ESPAÑA.</t>
  </si>
  <si>
    <t>https://www.voxespana.es/lerida</t>
  </si>
  <si>
    <t>Así fue el acto de presentación del libro 'La España Viva' en Chiclana. Con @Santi_ABASCAL @Ortega_Smith y @pedro_fhz</t>
  </si>
  <si>
    <t>Santi Abascal Conde Presidente del Partido Politico VOX en La Catedral de Córdoba.</t>
  </si>
  <si>
    <t>Luis Espoy</t>
  </si>
  <si>
    <t>https://www.instagram.com/p/BqbAd-mAPS_/?utm_source=ig_share_sheet&amp;igshid=1xolup3cm7sxn</t>
  </si>
  <si>
    <t>https://youtu.be/XOa4zMIsz-k</t>
  </si>
  <si>
    <t>La lectura hace al hombre completo, la conversación lo hace ágil y la escritura preciso... 😁</t>
  </si>
  <si>
    <t>Antonio Padel 🇪🇸</t>
  </si>
  <si>
    <t>En París, esperando mi vuelo para ir a ver a la familia y votar el 2D a @vox_es. A las órdenes de don @Santi_ABASCAL . Para mí la reconquista empieza hoy.</t>
  </si>
  <si>
    <t>https://pbs.twimg.com/media/Dsdx01wWsAE3NcB.jpg</t>
  </si>
  <si>
    <t xml:space="preserve">💚 Caza, Pesca y los Toros </t>
  </si>
  <si>
    <t>Monárquico desde el 1 O. http://youtu.be/DaajLxSlZSw. http://youtu.be/sUs8tunZ6MI. 💚@RNational_off y @matteosalvinimi. Votaré a @vox_es. http://youtu.be/NvlSwsV7fmY.</t>
  </si>
  <si>
    <t>https://youtu.be/rT12WH4a92w</t>
  </si>
  <si>
    <t>El Zascómetro</t>
  </si>
  <si>
    <t>Aldonza Lorenzo</t>
  </si>
  <si>
    <t>Las cosas como son. Surrealista. @vox_es @hermanntertsch @carloscuestaEM @CristinaSegui_ @isanseba @Santi_ABASCAL @Gato_directo @VidalQuadras @josemanuelopazo @Vox_Pozuelo</t>
  </si>
  <si>
    <t>https://pbs.twimg.com/media/Dsdw9T3XoAANmSV.jpg</t>
  </si>
  <si>
    <t>Informativos y actualidad Periódicos Escritores Ciencia</t>
  </si>
  <si>
    <t>Nacemos para sonreír con las delicias que Twitter nos regala en forma de Zasca al Cuñado. Hacemos el Zasca de Oro en.https://alcantarillasocial.com/zasca-oro/</t>
  </si>
  <si>
    <t>https://www.facebook.com/ZassCometro/</t>
  </si>
  <si>
    <t>Más comentados ahora en Derecha/Centro Dcha.: ➀ @sanchezcastejon ↑↑ ➁ @pepito_garca ↑ ➂ @Albert_Rivera ↓ ➃ @PSOE ↑ ➄ @CiudadanosCs ↑↑ ➅ @susanadiaz ↑ ➆ @ldpsincomplejos ↑ ➇ @Santi_ABASCAL ↓ ➈ @CristinaSegui_ ↑</t>
  </si>
  <si>
    <t>Más influyentes ahora en Derecha/Centro Dcha.: ➀ @pepito_garca ↑ ➁ @ldpsincomplejos ↑ ➂ @Santi_ABASCAL ↓ ➃ @CristinaSegui_ ↑ ➄ @currusquita ↓ ➅ @CiudadanosCs ↑↑↑ ➆ @bechoch ↑ ➇ @alhucema66 ↑ ➈ @hermanntertsch ↓</t>
  </si>
  <si>
    <t>Sevilla, Andalucía</t>
  </si>
  <si>
    <t>España qué bonita eres.</t>
  </si>
  <si>
    <t>El comunista PlaLenin haciendo que lee el libro de @Santi_ABASCAL , Hay Un Camino A La Derecha, por su sonrisa de idiota vemos que no es consciente de la que le viene encima cuando VOX entre en el Congreso.</t>
  </si>
  <si>
    <t>https://pbs.twimg.com/media/DsdmLPuW0AAqWk5.jpg</t>
  </si>
  <si>
    <t>Valoro las personas de principios sanos y puros, que amen la verdad. Si esos sentimiento están en tu vida se bienvenido. Jesucristo. 🇪🇸 VOX 🇻🇪</t>
  </si>
  <si>
    <t>Albert ||*||🎗</t>
  </si>
  <si>
    <t>Que paséis un feliz #20N @Albert_Rivera @pablocasado_ @Santi_ABASCAL @CiudadanosCs @PPopular @vox_es</t>
  </si>
  <si>
    <t>Portal de Cádiz</t>
  </si>
  <si>
    <t>República de Catalunya</t>
  </si>
  <si>
    <t>.@VOX_es y @Santi_Abascal presentan hoy en la provincia de Cádiz 'La España Viva'</t>
  </si>
  <si>
    <t>Ciutadà de la República Catalana.Director de la Mútua Sant Esteve de les Roures @mutuaSEDR Donec Perficiam *X</t>
  </si>
  <si>
    <t>Más comentados ahora en Derecha/Centro Dcha.: ➀ @sanchezcastejon ↓ ➁ @pepito_garca ↓ ➂ @currusquita ↑ ➃ @Santi_ABASCAL ↑ ➄ @ldpsincomplejos ↓ ➅ @PSOE ➆ @hermanntertsch ↑ ➇ @susanadiaz ➈ @CristinaSegui_ ↑</t>
  </si>
  <si>
    <t>https://www.portaldecadiz.com/provinciacadiz/36956-vox-y-santiago-abascal-presentan-hoy-en-la-provincia-de-cadiz-la-espana-viva</t>
  </si>
  <si>
    <t>Cádiz (España)</t>
  </si>
  <si>
    <t>Diario digital | Noticias y actualidad de Cádiz, Carnaval, Semana Santa, Cultura y ocio.</t>
  </si>
  <si>
    <t>http://www.portaldecadiz.com</t>
  </si>
  <si>
    <t>📸 Ni un espacio libre ayer en Chiclana en la charla-presentación del libro “La España Viva” con @pedro_fhz, @Ortega_Smith y @Santi_ABASCAL. El 2 de diciembre el sentido común llegará al paralamento de Andalucía y desalojará a los señoritos del PSOE de San Telmo ✅ Vota a @vox_es</t>
  </si>
  <si>
    <t>https://pbs.twimg.com/media/DsdhT9XWwAIUMaG.jpg</t>
  </si>
  <si>
    <t>Más influyentes ahora en Derecha/Centro Dcha.: ➀ @pepito_garca ↓ ➁ @Santi_ABASCAL ↑ ➂ @currusquita ↑ ➃ @ldpsincomplejos ↓ ➄ @hermanntertsch ↑ ➅ @CristinaSegui_ ↑ ➆ @alhucema66 ↑ ➇ @Anonymus_ES ↓ ➈ @JuanMarin_Cs ↑</t>
  </si>
  <si>
    <t>Lluis Ducet</t>
  </si>
  <si>
    <t>Tambien @Santi_ABASCAL le acaba de dar una lección a Marchena el TEDH al ordenar la libertad de un diputado en prisión un año y medio sin sentencia, yo me quedo con ésta indocumentado. RT @elisabeni: Voilà! (Para que querer enemigos si tienes amigos)</t>
  </si>
  <si>
    <t>https://twitter.com/elisabeni/status/1064874510552391680
https://twitter.com/Santi_ABASCAL/status/1064801520397496322</t>
  </si>
  <si>
    <t>Esplugues de Llobregat</t>
  </si>
  <si>
    <t>Advocat, català i no voldria deixar aquest mon sense veure la República catalana independent</t>
  </si>
  <si>
    <t>Carlos Javier - #VOX</t>
  </si>
  <si>
    <t>El Sr @sanchezcastejon no luchara por la soberania de Gibraltar a cambio de un puesto de diputad@ en la EU. Que piensa #vox y su presidente @Santi_ABASCAL sobre este tema, veanlo aqui ⬇️  #FelizMartes #EspañaViva #EleccionesYa #AndalucíaVotaVOX #VotaVOX</t>
  </si>
  <si>
    <t>https://youtu.be/snoF1z5t204</t>
  </si>
  <si>
    <t>Malaga, España</t>
  </si>
  <si>
    <t>Malagueño, Andaluz, Español, en defensa de Cataluña y por la unidad de España. #vox buena alternativa. Antipodemos, y otras mermas separatistas.</t>
  </si>
  <si>
    <t>" @Santi_ABASCAL lo deja claro en el Campo de Gibraltar: "¡Gibraltar español!"</t>
  </si>
  <si>
    <t>Más comentados ahora en Derecha/Centro Dcha.: ➀ @sanchezcastejon ↑ ➁ @pepito_garca ↑ ➂ @Santi_ABASCAL ↓ ➃ @ldpsincomplejos ↑ ➄ @PSOE ↑ ➅ @PPopular ↑ ➆ @currusquita ↓ ➇ @susanadiaz ↑ ➈ @hermanntertsch ↑ ➉ @alhucema66 ↓</t>
  </si>
  <si>
    <t>EL @PPopular HIZO UN RIDÍCULO ESPANTOSO PACTANDO CON PSOE Y PODEMOS EL REPARTO JUDICIAL...JUECES COMPRADOS...QUE VERGÜENZA! TODOS EN MASA A VOTAR A @Santi_ABASCAL</t>
  </si>
  <si>
    <t>https://m.eldiario.es/politica/Cosido-Poder-Judicial-PSOE-PP_0_837467177.html</t>
  </si>
  <si>
    <t>b(i+oy)</t>
  </si>
  <si>
    <t>por un momento pensé que era santi abascal que susto RT @ZacEfron: Mi nueva amiga Amapola 🐎</t>
  </si>
  <si>
    <t>Más influyentes ahora en Derecha/Centro Dcha.: ➀ @pepito_garca ↑ ➁ @Santi_ABASCAL ↓ ➂ @ldpsincomplejos ↑ ➃ @currusquita ↓ ➄ @hermanntertsch ↑ ➅ @CristinaSegui_ ↑ ➆ @Albert_Rivera ↑ ➇ @Anonymus_ES ↓ ➈ @alhucema66 ↓</t>
  </si>
  <si>
    <t>UJCE, UPM, Madrid</t>
  </si>
  <si>
    <t>Gotta gotta be down because I want it all Candado: @jospriv_</t>
  </si>
  <si>
    <t>Iván Fernández</t>
  </si>
  <si>
    <t>La gente esta que no sabe donde ir, dudan entre este acto o la misa en la Trinidad. @Santi_ABASCAL has elegido mal día chaval. RT @Santi_ABASCAL: Este martes 20 de noviembre la #EspañaViva llega a Córdoba. ¡Andalucía por España! #VotaVOX ¡ACTO PÚBLICO!</t>
  </si>
  <si>
    <t>https://twitter.com/Santi_ABASCAL/status/1064656631424843776</t>
  </si>
  <si>
    <t>https://pbs.twimg.com/media/DsZrjtVXcAMO-Mm.jpg</t>
  </si>
  <si>
    <t>Málaga (España)</t>
  </si>
  <si>
    <t xml:space="preserve">Córdoba </t>
  </si>
  <si>
    <t>Estudiante grado de historia (UCO), aficionado al carnaval gaditano y a @elseludecadi. Componente Comparsa los Herederos. Por el cambio @ahorapodemos.</t>
  </si>
  <si>
    <t>https://m.facebook.com/ivan.fernandezolivares.3?slog=82716&amp;seq=206906285&amp;rk=0&amp;st=user&amp;fbtype=2048&amp;re</t>
  </si>
  <si>
    <t>Ser un Tusitala</t>
  </si>
  <si>
    <t>Sr. Abascal @Santi_ABASCAL hoy es un día muy importante para ud. y los suyos @vox_es le pedimos mucha moderación en sus celebraciones y que lea esto  hay personas muy preocupadas... @soyturiaso @pablocasado_ @Pablo_Iglesias_ @Albert_Rivera @sanchezcastejon</t>
  </si>
  <si>
    <t>https://goo.gl/YQ1pdq</t>
  </si>
  <si>
    <t>Visitando la Catedral-mezquita de Córdoba para conocer de primera mano su historia y el acoso que el culto y la titularidad cristianas sufren por parte de grupos izquierdistas e islamistas #Córdoba #MezquitaCatedral #CatedralDeCórdoba #AndalucíaPorEspaña #EspañaViva</t>
  </si>
  <si>
    <t>Ser un Tusitala, el blog del que todo el mundo habla. (A la venta en libro). Nuevo novela de ficción: "El Verano de Natalie Davis" @halcombenorilsk.</t>
  </si>
  <si>
    <t>https://goo.gl/p9XVc1</t>
  </si>
  <si>
    <t>https://pbs.twimg.com/media/DsfFgi_XQAAica3.jpg</t>
  </si>
  <si>
    <t>Hoy iré a la charla de @Santi_ABASCAL en Córdoba, esperemos que no haya ningún intolerante en la puerta.</t>
  </si>
  <si>
    <t>https://www.elplural.com/politica/un-cargo-del-pp-preside-la-seccion-juvenil-de-la-fundacion-de-santiago-abascal_206432102</t>
  </si>
  <si>
    <t>Chico ambicioso con muchos sueños y metas y gran fan de los videojuegos,anime y artes marciales.</t>
  </si>
  <si>
    <t>El @PPopular de @pablocasado_ lo tiene claro: la guerra no hay que declarársela a @PSOE o @ahorapodemos que están destrozando España. Tampoco al separatismo catalán y vasco. Para ellos el enemigo es @vox_es y @Santi_ABASCAL. El PP solo busca mantener su pesebre</t>
  </si>
  <si>
    <t>https://pbs.twimg.com/media/DsdNTUJXcAA_CF2.jpg</t>
  </si>
  <si>
    <t>Más comentados ahora en Derecha/Centro Dcha.: ➀ @Santi_ABASCAL ↑ ➁ @pepito_garca ↓ ➂ @sanchezcastejon ↓ ➃ @ldpsincomplejos ↑ ➄ @currusquita ↓ ➅ @PSOE ↓ ➆ @PPopular ↑ ➇ @susanadiaz ↓ ➈ @alhucema66 ↓ ➉ @Albert_Rivera ↑</t>
  </si>
  <si>
    <t>Más influyentes ahora en Derecha/Centro Dcha.: ➀ @Santi_ABASCAL ↑ ➁ @pepito_garca ↓ ➂ @ldpsincomplejos ↑ ➃ @currusquita ↓ ➄ @alhucema66 ↓ ➅ @CristinaSegui_ ↑ ➆ @MariaTabarnia ↑ ➇ @Anonymus_ES ↑ ➈ @hermanntertsch ↓</t>
  </si>
  <si>
    <t>ArumaSurf ☮️&amp;💜</t>
  </si>
  <si>
    <t>No están hoy en misa el Sr. @pablocasado_ y el Sr. @Albert_Rivera ? Porque ya sabemos que @Santi_ABASCAL lo está dejando para la misa de las 20:00 #20N #20DeNoviembre</t>
  </si>
  <si>
    <t>proanimalista, vegetariana, atea, feminista, Republicana, deportista</t>
  </si>
  <si>
    <t>Antonio</t>
  </si>
  <si>
    <t>El BOCA-CHANCLA: #Escandalo #Vergüenza @PSOE #PSOE @sanchezcastejon @desdelamoncloa @susanadiaz @AndaluciaJunta @PPopular @vox_es @CiudadanosCs @Albert_Rivera @pablocasado_ @Santi_ABASCAL #Templarios #EspanaViva #MasAndalucia #AndaluciaPorEspaña RT @ElAngelFacha: APLÍCATE TU CUENTO Y ELECCIONES YA @sanchezcastejon</t>
  </si>
  <si>
    <t>https://twitter.com/ElAngelFacha/status/1064880718600445955
https://www.abc.es/espana/abci-sanchez-sobra-mucha-prepotencia-y-soberbia-201811152127_video.html?fbclid=IwAR3VtRH7XpbAkLrPArehVzJMjESeXrDhKpMJIt9znKS0ffXVtwn6XtsqxQM</t>
  </si>
  <si>
    <t>Información. @PSOE #PSOE @sanchezcastejon @desdelamoncloa @AndaluciaJunta @PPopular @vox_es @CiudadanosCs @Santi_ABASCAL #Templarios #EspanaViva #MasAndalucia #AndaluciaPorEspaña @ahorapodemos @Pablo_Iglesias_ @pnique #Podemos RT @OdinT707: Financiación de Podemos y Pablo Iglesias. 🤔🇪🇸</t>
  </si>
  <si>
    <t>https://twitter.com/OdinT707/status/1064892657586049024</t>
  </si>
  <si>
    <t>pic.twitter.com/u9Spg6cMDH</t>
  </si>
  <si>
    <t>Cuenta oficial de VOX en la provincia de Cádiz info@cadiz.voxespana.es</t>
  </si>
  <si>
    <t>http://www.voxespana.es/cadiz</t>
  </si>
  <si>
    <t>Nos tienen ya acostumbrados a las #Traiciones, nada nuevo. @PSOE #PSOE @sanchezcastejon @desdelamoncloa @AndaluciaJunta @PPopular @vox_es @CiudadanosCs @Santi_ABASCAL #Templarios #EspanaViva #MasAndalucia #AndaluciaPorEspaña #TraidorPsoe @DaniMateoAgain RT @okdiario: El Gobierno defiende a Dani Mateo tras sonarse los mocos con la bandera de España porque lo considera “cultura”</t>
  </si>
  <si>
    <t>https://twitter.com/okdiario/status/1064873431097843715
https://okdiario.com/espana/2018/11/20/gobierno-defiende-dani-mateo-sonarse-mocos-bandera-espana-porque-lo-considera-cultura-3371550?utm_term=Autofeed&amp;utm_campaign=ok&amp;utm_medium=Social&amp;utm_source=Twitter#Echobox=1542720584</t>
  </si>
  <si>
    <t>https://pbs.twimg.com/media/DsdAKcNWwAAaYAz.png</t>
  </si>
  <si>
    <t>Chus </t>
  </si>
  <si>
    <t>Hay que leer este programa, porque si no como sabemos lo que votamos? Merece la pena, muchos se sorprenderán y quien sabe, a lo mejor alguno cambia de idea y les vota! Enhorabuena @Santi_ABASCAL por darnos un partido a los que no lo teníamos @vox_es</t>
  </si>
  <si>
    <t>https://www.voxespana.es/biblioteca/espana/2018m/gal_c2d72e181103013447.pdf</t>
  </si>
  <si>
    <t>Spain - Madrid</t>
  </si>
  <si>
    <t>That place where dreams come true Madrileños y Muy Españoles sin complejos 🇪🇸🇪🇸#VOX @vox_es</t>
  </si>
  <si>
    <t>manuferdi</t>
  </si>
  <si>
    <t>Ayer en el miting de @vox_es @Santi_ABASCAL y @Ortega_Smith dijeron en 1 hora y media mas cosas coherentes que el @PSOE en 40 años #vivalaespañaunida 🇪🇸</t>
  </si>
  <si>
    <t>San Fernando, España</t>
  </si>
  <si>
    <t>-San Jose Artesano 🎵 -Malagueño 👌😏☺ -Capillita's boys ✝ -San Fernando ☢ -Venga de frente con el Señor ✝</t>
  </si>
  <si>
    <t>Alejandro, el manchego Cadizgradista</t>
  </si>
  <si>
    <t>¿Han dicho ya @pablocasado_ , @Albert_Rivera y @Santi_ABASCAL que están en contra del “andalú” y que van a enseñar a hablar a los andaluces en un español castellano exquisito o todavía están con cataluña y la extinta hace casi 7 años ETA?</t>
  </si>
  <si>
    <t>Castilla la Mancha</t>
  </si>
  <si>
    <t>1977-____ Lo mejor que tengo es “La polla en tu recto”. “La crítica debe ser siempre destructiva porque todo lo demás es asesoramiento” Otegi, gran político.</t>
  </si>
  <si>
    <t>César Artaza</t>
  </si>
  <si>
    <t>¿A quién retuitea el biznieto de Su Excremencia Luis Alfonso de Borbón? Tomad nota, mis queridos niños: @JorgeBustos1 @Santi_ABASCAL @elespanolcom @CristinaSegui_ @rosadiezglez @vox_es @GirautaOficial</t>
  </si>
  <si>
    <t>En lucha hasta la victoria final.</t>
  </si>
  <si>
    <t>charlie</t>
  </si>
  <si>
    <t>Hola @Santi_ABASCAL como estudiante de Comunicación Política me gustaría hacerte unas preguntas acerca del vídeo/spot de "¡Andalucía por España!", enfocadas en su intencionalidad. Sé que estará usted ocupado, pero si tuviera un momento para un par de preguntas sería genial :)</t>
  </si>
  <si>
    <t>país valencià</t>
  </si>
  <si>
    <t>futura periodista en constante deconstrucción // 24/7 consumiendo contenido audiovisual</t>
  </si>
  <si>
    <t>https://www.instagram.com/carlizb/</t>
  </si>
  <si>
    <t>LIS JUECES EN LA PICOTA POR CULPA DEL PP DE CASADO... TODOS EN MASA A VOTAR A @Santi_ABASCAL DE @vox_es</t>
  </si>
  <si>
    <t>Guillermo_Velasco</t>
  </si>
  <si>
    <t>Que miedo da Santi Abascal. Ah no, que es un campamento del Partido Comunista! RT @clubdeviernes: Campamentos comunistas donde se instruye a jóvenes en la violencia y se les adoctrina en una ideología genocida anulando la individualidad ... está pasando en España</t>
  </si>
  <si>
    <t>Abanderando la defensa de España @vox_es @Santi_ABASCAL @voxjovenes</t>
  </si>
  <si>
    <t>Pisé el Abismo de Helm y acabé un maratón (una de las dos cosas es mentira). Me siento bien en multitud de lugares, tambien metiéndome en charcos</t>
  </si>
  <si>
    <t>http://google.com</t>
  </si>
  <si>
    <t>https://pbs.twimg.com/media/Dscw_3mXQAAwSvI.jpg</t>
  </si>
  <si>
    <t>TODOS VOTEMOS A @Santi_ABASCAL</t>
  </si>
  <si>
    <t>https://pbs.twimg.com/media/DscvZoeWwAEfVwi.jpg</t>
  </si>
  <si>
    <t>Zorræ Implacable.</t>
  </si>
  <si>
    <t>Va a toda hostia a unirse a la reconquista de Santi Abascal RT @ZacEfron: Mi nueva amiga Amapola 🐎</t>
  </si>
  <si>
    <t>EL Proces entrando en Barrena @Pdemocratacat @Esquerra_ERC @JuntsXCat @elsa_artadi @Albiol_XG @InesArrimadas @KRLS @cupnacional @QuimTorraiPla @rogertorrent @CiudadanosCs @PPCatalunya @vox_es #Templarios @vox_es @Santi_ABASCAL RT @BromiusBCN: Sólo el 0,4 % de los CAT se apunta al ‘consejo por la república’ que financia a Puigdemont. Torra y Puigdemont se acobardan: el consejo ‘de’ la república será sólo ‘por’ la república. Sólo 30.000 CAT se han comprometido con este objetivo #LaSilenciosaCat</t>
  </si>
  <si>
    <t>https://twitter.com/BromiusBCN/status/1064662403105898496
https://okdiario.com/espana/cataluna/2018/11/19/solo-04-catalanes-apunta-consejo-republica-que-financia-puigdemont-3366274</t>
  </si>
  <si>
    <t>What would Lizzie McGuire do</t>
  </si>
  <si>
    <t>http://www.instagram.com/davidgosu</t>
  </si>
  <si>
    <t>El talante es muy esclarecedor. @AndaluciaJunta @susanadiaz @PSOE #PSOE @sanchezcastejon @desdelamoncloa @PPopular @vox_es @CiudadanosCs @Santi_ABASCAL #Templarios #EspanaViva #MasAndalucia #AndaluciaPorEspaña @Albert_Rivera @pablocasado_ RT @joosearodriguez: Esta es la realidad del PSOE en Andalucía. Estas son las tristes ordenes que se acatan de Susana Díaz en los mitines de las elecciones andaluzas: ¡O dejas de grabar o te quito la acreditación! #DebateCanalSur</t>
  </si>
  <si>
    <t>https://twitter.com/joosearodriguez/status/1064593289305825280</t>
  </si>
  <si>
    <t>pic.twitter.com/TVyZ2OHT9z</t>
  </si>
  <si>
    <t>Hayek</t>
  </si>
  <si>
    <t>#RECTIFIQUEN. No todo está perdido en #España frente al #comunismo: 1° CREAR #GRANCOALICIÓN #CONSTITUCIONALISTA: @Santi_ABASCAL @Albert_Rivera @pablocasado_ 2° HACER #REFORMAS por #DemocraciaLiberal con: separación "real" de poderes, independencia judicial... PRIMER PASO 🎓👇</t>
  </si>
  <si>
    <t>https://pbs.twimg.com/media/DscupZDXcAUQQ29.jpg</t>
  </si>
  <si>
    <t>Tabarnia, Spain</t>
  </si>
  <si>
    <t>Académico 100%. Vital 100%. Liberal 100%. Mejorando el marco institucional de España, Europa y América. Libros: #SalvemosVenezuela #EscuelaEspañolaEconomia</t>
  </si>
  <si>
    <t>Total que más da !!!! #Andalucía se lo traga todo...…. @AndaluciaJunta @susanadiaz @PSOE #PSOE @sanchezcastejon @desdelamoncloa @PPopular @vox_es @CiudadanosCs @Santi_ABASCAL #Templarios #EspanaViva #MasAndalucia #AndaluciaPorEspaña @Albert_Rivera @pablocasado_ RT @currusquita: Ni el 3% ni el 10... Una grabación desvela el presunto cobro del #PSOE andaluz de comisiones del 33% a empresas subvencionadas. Oleeee!! #MarinLoSabia #VotaGarantíadeCambio</t>
  </si>
  <si>
    <t>https://twitter.com/currusquita/status/1064754902658940928
https://digitalsevilla.com/2018/11/16/una-grabacion-desvela-el-presunto-cobro-del-psoe-andaluz-de-comisiones-del-33-a-empresas-subvencionadas/#.W_OdRGiwfHg.twitter</t>
  </si>
  <si>
    <t>Napalm</t>
  </si>
  <si>
    <t>muy buenas @Santi_ABASCAL , necesitamos saber si tomar cerveza es de ser de derechas. Es importante para la hora de votar</t>
  </si>
  <si>
    <t>Jaén, España</t>
  </si>
  <si>
    <t>Skin in the game</t>
  </si>
  <si>
    <t>Las Manadas. @Pdemocratacat @Esquerra_ERC @JuntsXCat @elsa_artadi @Albiol_XG @InesArrimadas @KRLS @cupnacional @QuimTorraiPla @rogertorrent @CiudadanosCs @PPCatalunya @vox_es #Templarios @ArnaldoOtegi @Santi_ABASCAL RT @pigdemont_: Hay manadas que violan impunemente y no salen en los medios , hay manadas que violan y salen en todos los medios y hay manadas que No violan , pero son las más dañinas</t>
  </si>
  <si>
    <t>Zaragoza, España</t>
  </si>
  <si>
    <t>https://twitter.com/pigdemont_/status/1064518555310481409</t>
  </si>
  <si>
    <t>https://pbs.twimg.com/media/DsXt6y7WkAEFva_.jpg</t>
  </si>
  <si>
    <t>Es un auténtico escándalo y la desfachatez de este Sr. es inmensa. #TraidorPsoe #TraidorSanchez @PSOE #PSOE @sanchezcastejon @desdelamoncloa @PPopular @vox_es @CiudadanosCs @Santi_ABASCAL #Templarios #EspanaViva #MasAndalucia #AndaluciaPorEspaña @Albert_Rivera @pablocasado_ RT @Albert_Rivera: “Un gobierno sin presupuestos no gobierna nada”. “Gobernar no consiste en vivir en La Moncloa”. Miren a Sánchez en un ataque de lucidez... Cuando no estaba ocupando La Moncloa, claro. Aplíquese el cuento: #EleccionesYa.</t>
  </si>
  <si>
    <t>https://twitter.com/Albert_Rivera/status/1064605981341114371</t>
  </si>
  <si>
    <t>pic.twitter.com/HXmqLHT8Jn</t>
  </si>
  <si>
    <t>⚽ Maria ⚽</t>
  </si>
  <si>
    <t>Menuda demagogia barata ... queremos una derecha no una mierda de partido que tiene ideales de izquierda y encima roban y roban como es el PP que gracias a vosotros el okupa de la moncloa está destrozando España CAFRES #VOXAvanza @Santi_ABASCAL presidente!!!!!!! RT @Rafa_Hernando: Es evidente q si los que van a tirar el voto apoyando a Vox decidieran votar al PP los días del PSOE en la Junta de Andalucía estarían contados. Por lo tanto votar a Vox es otra forma más de ayudar a los socialistas, ya sea @sanchezcastejon o @susanadiaz. No votar también</t>
  </si>
  <si>
    <t>https://twitter.com/Rafa_Hernando/status/1064247667432333312</t>
  </si>
  <si>
    <t>https://pbs.twimg.com/media/DsT3mbzW0AAX2d0.jpg</t>
  </si>
  <si>
    <t>⚽UD. Almería ❤</t>
  </si>
  <si>
    <t>Manuel</t>
  </si>
  <si>
    <t>Según @Pablo_Iglesias_ para ser demócrata hay que ser antifascista. Entonces para ser un buen demócrata ¿hay que pensar como usted?. ¿Que piensas de esto @Santi_ABASCAL?. Yo soy demócrata y no comparto las ideas de Pablo Iglesias alias "el chepas".</t>
  </si>
  <si>
    <t>Soy como soy. Si no te gusta haya tú</t>
  </si>
  <si>
    <t>EL VOTO ES LIBRE Y SECRETO Y NO ES PROPIEDAD DE NINGÚN PARTIDO POLÍTICO SEÑOR CASADO @pablocasado_ @ppandaluz @PPdeSevilla @VOXSevilla @PPSLN @vox_malaga @vox_granada @VOX_CADIZ @VOX_Jaen @vox_jerezfra @Santi_ABASCAL @Juan_A_Morales #EleccionesAndalucia #AndaluciaporEspaña RT @elespanolcom: El PP declara la guerra a Vox: "Votarles es ayudar a los socialistas"</t>
  </si>
  <si>
    <t>https://twitter.com/elespanolcom/status/1064825680192368642
https://www.elespanol.com/espana/20181120/pp-declara-guerra-vox-votarles-ayudar-socialistas/354465099_0.html</t>
  </si>
  <si>
    <t>Enrique González VOX Talavera la Real</t>
  </si>
  <si>
    <t>📌 HOY‼️ A las 20:00 horas, CÓRDOBA. Acto de campaña de @vox_es con @Santi_ABASCAL, @Ortega_Smith, @FSerranoCastro y @AlejandroHVCord. 🏨Hotel Ayre Córdoba #AndalucíaPorEspaña #VoxAvanza</t>
  </si>
  <si>
    <t>https://pbs.twimg.com/media/DsckMUtW0AUq8oS.jpg</t>
  </si>
  <si>
    <t>Talavera la Real, Badajoz</t>
  </si>
  <si>
    <t>Análisis y opiniones personales. voxtalaveralareal@gmail.com</t>
  </si>
  <si>
    <t>Jose</t>
  </si>
  <si>
    <t>🎗️Que🎗️se jodan🎗️los🎗️fachas🎗️</t>
  </si>
  <si>
    <t>Si no estuviese mal visto Vox haria un acto hacia el franquismo, seguro que muchos de Vox lloraran hoy, en sus casas la muerte de Franco. @vox_es @Santi_ABASCAL</t>
  </si>
  <si>
    <t>Pablo Casado, Albert Rivera y Santi Abascal herederos y por tanto adoradores dl franquismo, siguen siendo un claro ejemplo de q el franquismo sigue vivo Por tanto: #EnterrarElFranquismo es imprescindible #DestruirElValle es imprescindible #IlegalizarElFranquismo es imprescindible</t>
  </si>
  <si>
    <t>Directo a la #IIIRepublica, o lo que es lo mismo, saliendo de #Francoland Bloqueado por @Albert_Rivera, vete tu a saber si mi nombre le ha ofendido</t>
  </si>
  <si>
    <t>Ha pasado ya un día y la sala segunda sigue sin precintar para ser investigada y sus jueces sin ser retirados, pero de esto no te dirán nada ni @pablocasado_, ni @Santi_ABASCAL, ni @Albert_Rivera, ni @sanchezcastejon ni esa fascista de Las mañana de a3, ni la de 📺🎪 ni la s6cta</t>
  </si>
  <si>
    <t>LIBERTAD!!!Vzla</t>
  </si>
  <si>
    <t>A mi amada #EspañaViva la locura la ronda. Cordura y Calma!!! @Albert_Rivera @Santi_ABASCAL @pablocasado_ @okdiario RT @okdiario: ▶️ Simpatizantes de Franco solicitan por escrito a la Iglesia española que se le declare Santo</t>
  </si>
  <si>
    <t>https://twitter.com/okdiario/status/1064850488498233344</t>
  </si>
  <si>
    <t>pic.twitter.com/0jcVfN030d</t>
  </si>
  <si>
    <t>Venezuela</t>
  </si>
  <si>
    <t>Ama de casa, rebelde,con grandes deseos de ver a mi pais unido y con grandes proyectos.AMO A MI PAÍS Y AL TUYO! #SoyVenezuela</t>
  </si>
  <si>
    <t>Cruz Verde</t>
  </si>
  <si>
    <t>Leo que Sánchez quiere mediar entre UE y Marruecos, para que UE ponga pasta sobre la mesa, y Marruecos se la eche al bolsillo a cambio de contener la inmigración. Lo de "wellcome refugies..." Pero el facha, es @Santi_ABASCAL</t>
  </si>
  <si>
    <t>Uno de los fundadores de PLAFARMA,asociación constituída para lograr la libertad de ejercicio profesional en el sector farmacéutico. Mis opiniones son sólo mías</t>
  </si>
  <si>
    <t>http://www.plafarma.org</t>
  </si>
  <si>
    <t>.@vox_es @Santi_ABASCAL @MariscalZabala ⚠️Dice el rotativo @elespanolcom que “”El PP declara la guerra a Vox: "Votarles es ayudar a los socialistas" 1️⃣Ayer quien abrazaba al Frente Popular, era el PP con el ahora acuerdo fallido, del CGPJ. 2️⃣Quién ayuda a quién? A cambio de...</t>
  </si>
  <si>
    <t>🔴 No te pierdas esta tarde a las 20:00 en Córdoba el acto de campaña de @vox_es con @Santi_ABASCAL, @Ortega_Smith, @FSerranoCastro y @AlejandroHVCord. 📍Hotel Ayre Córdoba ¡Acude con tu bandera!🇪🇸 #AndalucíaPorEspaña</t>
  </si>
  <si>
    <t>https://pbs.twimg.com/media/DscQFISWsAAlW7y.jpg</t>
  </si>
  <si>
    <t>D.A.</t>
  </si>
  <si>
    <t>Allí tienen a los miembros de la sala situacional del PSOE, PODEMOS, los separatistas catalanes y ETA, reclamando a @sanchezcastejon no haber detenido el avance de @Alternativa_VOX en Andalucia y toda España. @Vox_Andalucia @voxnoticias_es @Santi_ABASCAL @Ortega_Smith @vox_es RT @Bernat_Castro: ¡Menudo speech más bueno el de C's para las municipales!</t>
  </si>
  <si>
    <t>https://twitter.com/Bernat_Castro/status/1064646195820339201</t>
  </si>
  <si>
    <t>pic.twitter.com/PLLl6i2Qma</t>
  </si>
  <si>
    <t>Salt Lake City, UT</t>
  </si>
  <si>
    <t>Creo en el amor de mi familia y mi gente. Creo en una Venezuela libre y de oportunidades para todos, donde se valore el esfuerzo y se respeten sus frutos</t>
  </si>
  <si>
    <t>Los valores primero</t>
  </si>
  <si>
    <t>Atención a la conversación. Parece que la gente tiene claro que esto solo lo para @vox_es. @Santi_ABASCAL</t>
  </si>
  <si>
    <t>pic.twitter.com/B4i53aOvzv</t>
  </si>
  <si>
    <t>Los valores están por encima de las siglas.</t>
  </si>
  <si>
    <t>Mi más sincera enhorabuena al compositor y personas que lo eligieron:  @vox_es @Santi_ABASCAL @Ortega_Smith @monasterioR @Igarrigavaz</t>
  </si>
  <si>
    <t>https://www.youtube.com/watch?v=IXsc3TH6F60</t>
  </si>
  <si>
    <t>Aquí @Santi_ABASCAL, que viene a “salvar” España, cuando era colocado como Director de la Agencia de Protección de Datos por dos de la mafia que la han hundido, ni más ni menos que Aguirre y Gallardón. #FelizMartes</t>
  </si>
  <si>
    <t>https://pbs.twimg.com/media/DscH8iqWkAAvJKp.jpg</t>
  </si>
  <si>
    <t>Nuhazer Rodríguez 🇮🇨</t>
  </si>
  <si>
    <t>Que dice @Santi_ABASCAL que @vox_es no es un partido fascista #20N</t>
  </si>
  <si>
    <t>https://pbs.twimg.com/media/DscDStmWwAAKR18.jpg</t>
  </si>
  <si>
    <t>Gran Canaria</t>
  </si>
  <si>
    <t>Cosecha del 90</t>
  </si>
  <si>
    <t>http://instagram.com/nuharguez</t>
  </si>
  <si>
    <t>YoSoyDeVOX</t>
  </si>
  <si>
    <t>#PPSOE haciendo de las suyas con la ayuda de @ahorapodemos que quiere 2 vocales. Por eso ahora tenemos #PPSOEMOS Cada día más contento de que exista @vox_es Gracias @Santi_ABASCAL RT @zbarbar70: Marchena anuncia que se descarta como presidente del Poder Judicial y reivindica su independencia  via @elespanolcom</t>
  </si>
  <si>
    <t>https://twitter.com/zbarbar70/status/1064814695377502208
https://www.elespanol.com/espana/tribunales/20181120/marchena-descarta-presidente-poder-judicial-reivindica-independencia/354714705_0.html</t>
  </si>
  <si>
    <t>Morata de Jalón, España</t>
  </si>
  <si>
    <t>Tabarnés YO SOY DE VOX 💪</t>
  </si>
  <si>
    <t>http://www.xn--repblicadeespaa-crb5l.com</t>
  </si>
  <si>
    <t>Enrique Seoane</t>
  </si>
  <si>
    <t>La alternancia hecho hombre!! @JuanMarin_Cs me dice @Santi_ABASCAL que te espera en la proxima convocatoria en sus filas de @vox_es 😂😂😂😂 #sinpricipios #alsolquemascalienta @AdelanteAND #GanaTeresa</t>
  </si>
  <si>
    <t>https://pbs.twimg.com/media/Dsb7g9xWoAAWa1Q.jpg</t>
  </si>
  <si>
    <t>Málaga, España</t>
  </si>
  <si>
    <t>Malagueño, Sagitario, de izquierdas, #feminista y con ganas de mejorar día a día. Auxiliar de seguridad de @UniumServicios en @Bidafarma</t>
  </si>
  <si>
    <t>https://www.facebook.com/enrique.seoane.71</t>
  </si>
  <si>
    <t>Buenos dás Caso Aislado desde Huelva un cordial saludo de un afliado A VOX. Desde @c vox_es ha aplaudido la decisión del magistrado Marchena. @Santi_Abascal ha destacado que el juez "ha dado una lección de dignidad patriotismo e independencia". RT @CasoAislado_Es: Desde @vox_es han aplaudido la decisión del magistrado Marchena. @Santi_ABASCAL ha destacado que el juez "ha dado una lección de dignidad, patriotismo e independencia".</t>
  </si>
  <si>
    <t>https://twitter.com/CasoAislado_Es/status/1064806752443662338
https://casoaislado.com/santiago-abascal-aplaude-al-juez-marchena-ha-dado-una-leccion-dignidad-patriotismo-e-independencia/</t>
  </si>
  <si>
    <t>https://pbs.twimg.com/media/DsUON_EXQAIJ3od.jpg</t>
  </si>
  <si>
    <t>DΩRΒΔZΣL #RED🇪🇸</t>
  </si>
  <si>
    <t>Tu bajeza moral ya ni ofende. Simplemente eres patético @pnique. @Santi_ABASCAL @monasterioR @Ortega_Smith @vox_es #Querella YA RT @pnique: En este vídeo de Euronews se ve algo que no se ha difundido mucho en medios españoles. Una manada pateando a mujeres indefensas. Estos posibles votantes de PP, C's o Vox se creerán muy machitos, pero está claro que hay que ser cobarde y muy poco hombre. Bravas @FemenSpain. 💪</t>
  </si>
  <si>
    <t>https://twitter.com/pnique/status/1064452020613062658</t>
  </si>
  <si>
    <t>pic.twitter.com/rQl8ABWxA2</t>
  </si>
  <si>
    <t>NO ME BUSQUES Q ME ENCUENTRAS</t>
  </si>
  <si>
    <t>TIEMPO DE ROJOS, HAMBRE Y PIOJOS.</t>
  </si>
  <si>
    <t>http://www.tonteriaslasjustas.com</t>
  </si>
  <si>
    <t>Míchel Al-Thani</t>
  </si>
  <si>
    <t>Ha tenido gracia esta mañana @David74Sanchez cuando ha dicho que espera la reacción de @Santi_ABASCAL y @vox_es sobre la candidatura conjunta de España al Mundial de Fútbol de 2030 con Portugal y Marruecos. La estoy esperando con palomitas JA JA JA JA</t>
  </si>
  <si>
    <t>Me cambié el apellido para que me traten mejor los súbditos. Soy madrileño, pero me vine a Málaga para no trabajar y cobrar mucho dinero. Pachorra Style (FAKE)</t>
  </si>
  <si>
    <t>http://www.michelpachorra.com</t>
  </si>
  <si>
    <t>Andrés Sánchez</t>
  </si>
  <si>
    <t>Se puede decir más alto... pero más claro imposible. ¡Basta ya de mentira pepera! @Santi_ABASCAL @VOX_LasRozas #LasRozasViva #LasRozas RT @Santi_ABASCAL: 17 ejemplos de votos tirados a la basura que a los inútiles del voto útil no les gustará que recordemos.</t>
  </si>
  <si>
    <t>https://twitter.com/Santi_ABASCAL/status/1064484410328788992
http://www.outono.net/elentir/2018/11/19/17-ejemplos-de-votos-tirados-a-la-basura-que-al-pp-no-le-gustara-que-recordemos/</t>
  </si>
  <si>
    <t>Español, defensor de los derechos y libertades de la persona. Vicecoordinador de Vox #LasRozas Recuperando España #LasRozasViva</t>
  </si>
  <si>
    <t>José Miguel</t>
  </si>
  <si>
    <t>El vídeo que ha emocionado a @Santi_ABASCAL y a @vox_es RT @Santi_ABASCAL: Me llega por todos lados este vídeo viral desde ayer. La España Viva, la España sencilla, lo tiene claro. Puro sentido común.</t>
  </si>
  <si>
    <t>https://twitter.com/Santi_ABASCAL/status/1064231017656066049</t>
  </si>
  <si>
    <t>pic.twitter.com/LKuruj7yPq</t>
  </si>
  <si>
    <t>Sin Periodismo no hay Democracia #LibertadDePrensa</t>
  </si>
  <si>
    <t>Hoy en el @Congreso_Es esperamos una condena total de franquismo y su dictadura. Que diran @PPopular @pablocasado_ (esta ocupado con su amigo Cosido) @CiudadanosCs @Albert_Rivera o en redes sociales sus secuaces de @vox_es @Santi_ABASCAL Veremos que excusa ponen hoy....</t>
  </si>
  <si>
    <t>Julian Lara</t>
  </si>
  <si>
    <t>Me parece que el debate habría sido más interesante si hubieran invitado a participar a @Santi_ABASCAL, @FSerranoCastro, o a algún representante de @vox_es RT @abcdesevilla: ¿Qué te ha parecido el debate? Deja tu opinión con la etiqueta #DebateEleccionesAND  #DebateCanalSur</t>
  </si>
  <si>
    <t>https://twitter.com/abcdesevilla/status/1064655117822164994
http://ow.ly/TyIt30mFVpO</t>
  </si>
  <si>
    <t>Los Angeles, CA</t>
  </si>
  <si>
    <t>Filmmaker from Spain in Los Angeles. Find me also on Instagram: https://www.instagram.com/julianlarafilmmaker/</t>
  </si>
  <si>
    <t>https://www.julianlara.com</t>
  </si>
  <si>
    <t>Doctora Spartana</t>
  </si>
  <si>
    <t>✝️🤬💨🕳️⚰️@Santi_ABASCAL @TerciosigloXXI @VOXValladolid @vox_es @Stop2Invasion @Ortega_Smith @navedelmisterio @federico_videos @EsterMunoz85 @ValleToca @CasoAislado_Es @FNFFranco @InesArrimadas @pablocasado_ Mañana será tarde y nos tocará salir con doberman, incluso a la guerra RT @inma_ben: Me pasan esto ocurrido en Valencia hoy...😨</t>
  </si>
  <si>
    <t>https://twitter.com/inma_ben/status/1064273084193038336</t>
  </si>
  <si>
    <t>pic.twitter.com/sCanGjiWBc</t>
  </si>
  <si>
    <t>Si Quieres Brillar como el Sol primero tienes Que arder como él. 🧐⚖️.</t>
  </si>
  <si>
    <t>En 3 minutos @Santi_ABASCAL explica la manipulación que sufre la #EspanaViva de @vox_es por parte de algunos medios: #AndaluciaPorEspana #EleccionesAndalucia @canasporespana #EleccionesYa #Andalucia #VOXUtil #VOXAvanza #VivaEspaña</t>
  </si>
  <si>
    <t>🦌 @Santi_ABASCAL participará en un acto público de @andaluciacaza #LaCazaTambiénVota el próximo miércoles 21 de noviembre en Sevilla. ✅ Santiago Abascal explicará las propuestas de VOX para el mundo rural y la caza. 📢 #UnaApuestaPorLaCaza</t>
  </si>
  <si>
    <t>pic.twitter.com/LDaer8Olym</t>
  </si>
  <si>
    <t>United States</t>
  </si>
  <si>
    <t>Spaniard living the American Dream 🤩🇺🇸🇪🇸 Harto de tantas hipocresías pero con esperanza en el sentido común de las personas 😋😋😋</t>
  </si>
  <si>
    <t>Ahora mismo @Santi_ABASCAL esta despierto por si hacéis alguna fechoría contra España</t>
  </si>
  <si>
    <t>Si un hombre vale lo que vale su palabra. Estos dos no valen una mierda VOTA @Santi_ABASCAL</t>
  </si>
  <si>
    <t>https://pbs.twimg.com/media/DsaB2dSWsAARO56.jpg</t>
  </si>
  <si>
    <t>J.</t>
  </si>
  <si>
    <t>Pero qué gracioso es @Santi_ABASCAL en vez de Pablo Iglesias le dice Pablo Mezquitas. Claro, Iglesias por Mezquitas. Es que es un cachondo, venga votemos a VOXtra puta madre. RT @diario6com: VOX: “El sujeto más peligroso” en España es “Pablo Mezquitas” (Pablo Iglesias)</t>
  </si>
  <si>
    <t>https://twitter.com/diario6com/status/1064461795044265984
http://diario6.com/vox-el-sujeto-mas-peligroso-en-espana-es-pablo-mezquitas-pablo-iglesias/</t>
  </si>
  <si>
    <t>Ciudad del Betis</t>
  </si>
  <si>
    <t>Son nuestras elecciones las que muestran lo que somos, mucho más que nuestras habilidades. | Real Betis Balompié | Animalista.</t>
  </si>
  <si>
    <t>Ya os lo advirtió @Santi_ABASCAL en Vistalegre. Los que os traicionaron, ahora os acusarán de que viene la izquierda. Que no os intimide la falacia del "voto útil", que no os manipulen. Uníos a la #EspañaViva con @vox_es #AndalucíaPorEspaña ✅VOTA VOX</t>
  </si>
  <si>
    <t>https://pbs.twimg.com/media/DsZxVPCX4AAFPeh.jpg</t>
  </si>
  <si>
    <t>Libertad&amp;Memes✌️🇪🇸</t>
  </si>
  <si>
    <t>Lo que dijo @Santi_ABASCAL. Lo que dice la izquierda que dijo.</t>
  </si>
  <si>
    <t>https://pbs.twimg.com/media/DsZuUKkW0AEBBQd.jpg</t>
  </si>
  <si>
    <t>Memes y opiniones sobre la #Libertad [#MAGA] [Gab: http://gab.ai/iSemperLiber] [Biblioteca personal: http://goo.gl/pdUJGF]</t>
  </si>
  <si>
    <t>https://www.youtube.com/channel/UCQ5QSoJnTf-w7DdIRMCsDyA</t>
  </si>
  <si>
    <t>La chicas del grupo "LIBERA BARCELONA" se especializa en limpiar de "LAZIS" las luces navideñas (Vídeo y fotos) @vox_es @Santi_ABASCAL  vía @hisomatemps</t>
  </si>
  <si>
    <t>https://somatemps.me/2018/11/19/la-chicas-del-grupo-libera-barcelona-se-especializa-en-limpiar-de-lazis-las-luces-navidenas-video-y-fotos/</t>
  </si>
  <si>
    <t>📰 @Santi_ABASCAL en Cádiz: “Desde que llegó Casado hemos pasado de 7.000 a 16.000 afiliados”  vía @diariocadiz 📣 #AndalucíaPorEspaña 🇪🇸</t>
  </si>
  <si>
    <t>https://www.diariodecadiz.es/_4d98f724</t>
  </si>
  <si>
    <t>ComoEstaElPatio-MiArma</t>
  </si>
  <si>
    <t>TODOS A VOTAR @Santi_ABASCAL</t>
  </si>
  <si>
    <t>https://pbs.twimg.com/media/DsZm6lmWwAA0W2y.jpg</t>
  </si>
  <si>
    <t>Después ver ese Gran debate que han puesto en Canal Sur,saco la conclusión que la Solución está en votar a @vox_es @Santi_ABASCAL . Por una ANDALUCÍA GRANDE Y FUERTE.🇪🇸🇪🇸💪🏻💪🏻</t>
  </si>
  <si>
    <t>Después de 40 años de traiciones de PSOE y PP, estos 15 minutos de @Santi_ABASCAL suenan a música celestial! Adelante VOX💚🇪🇸</t>
  </si>
  <si>
    <t>https://www.youtube.com/watch?v=SbOfqDlIUpU</t>
  </si>
  <si>
    <t>España🇪🇸&amp;Venezuela🇻🇪</t>
  </si>
  <si>
    <t>Una madre española durmiendo en la calle con su hijo de 4 años; no es de ningún colectivo minoritario, abandonada por el Gobierno de @sanchezcastejon #YaBasta actúen @pablocasado_ @Albert_Rivera @Santi_ABASCAL... #SosEspaña</t>
  </si>
  <si>
    <t>https://elmetropolitanodemadrid.blogspot.com/2018/11/una-madre-tiene-que-dormir-con-su-hijo.html?m=1</t>
  </si>
  <si>
    <t>Tabarnia</t>
  </si>
  <si>
    <t>Creó en la Democracia, Libertad de Pensamiento, Libertades Económicas y Respecto a los Derechos Humanos. #SOSESPAÑOLESENVENEZUELA ️#SosVzla #SOSNicaragua</t>
  </si>
  <si>
    <t>http://JPOMBO.ES</t>
  </si>
  <si>
    <t>VERGÜENZA.. TODOS A VOTAR @Santi_ABASCAL</t>
  </si>
  <si>
    <t>https://www.eleconomista.es/economia/noticias/9527913/11/18/El-Registro-de-Galapagar-oculta-los-datos-de-la-casa-de-Iglesias-por-ser-noticiable.html</t>
  </si>
  <si>
    <t>El Independiente</t>
  </si>
  <si>
    <t>⭕ “Os van a llamar facha y hay gente dispuesta a todo contra nosotros, pero eso no os debe atemorizar, sino daros fuerzas”, les advierte @Santi_ABASCAL, líder de @vox_es</t>
  </si>
  <si>
    <t>https://www.elindependiente.com/politica/2018/11/16/unos-350-jovenes-participan-en-un-encuentro-abierto-con-preguntas-al-lider-de-vox-santiago-abascal-en-un-acto-en-sevilla/?utm_source=share_buttons&amp;utm_medium=twitter&amp;utm_campaign=social_share2</t>
  </si>
  <si>
    <t>#ElIndependiente, un medio ideado, creado y controlado por periodistas. Dirigido por @garcia_abadillo. También http://facebook.com/indpcom #SomosIndependientes</t>
  </si>
  <si>
    <t>http://www.elindependiente.com</t>
  </si>
  <si>
    <t>Horasur.com</t>
  </si>
  <si>
    <t>#ELECCIONESANDALUZA @Santi_ABASCAL pide al Gobierno que la comarca deje de ser “rehén del pirata Picardo” @vox_es #LaLinea #LosBarrios  vía @horasurdigital</t>
  </si>
  <si>
    <t>https://www.horasur.com/articulo/campo-de-gibraltar/santiago-abascal-pide-gobierno-comarca-deje-ser-rehen-pirata-picardo/20181118205558037294.html</t>
  </si>
  <si>
    <t>https://www.sevillainfo.es/noticias-de-andalucia/entrevista-francisco-serrano-vox-autonomicas-2019/</t>
  </si>
  <si>
    <t>Algeciras</t>
  </si>
  <si>
    <t>Portal Digital de noticias de Algeciras, Campo de Gibraltar, Bahía y Estrecho. Formar, informar y entretener, es nuestro objetivo</t>
  </si>
  <si>
    <t>http://www.horasur.com</t>
  </si>
  <si>
    <t>Mara garret</t>
  </si>
  <si>
    <t>Cuando ya no crees en los políticos aparecen Ortega Lara, Santi Abascal y Javier Ortega y cuando ya no crees en la justicia aparecen magistrados como Llarena y Marchena. Graciasssss</t>
  </si>
  <si>
    <t>Mamá, esposa y abogada en ejercicio vamos, peleando todo el día</t>
  </si>
  <si>
    <t>El Ejército estará en el próximo Salón de la Enseñanza de Barcelona a pesar de la negativa de Ada Colau @AbeInfanzon @hermanntertsch @GeneralDavila @EjercitoTierra @EjercitoAire @Santi_ABASCAL @Lalegion_es @ppitarchb @PerdigueroSIPEp @JOSEMANUELSOTO1 @rosadiezglez @CristinaSegui_</t>
  </si>
  <si>
    <t>pic.twitter.com/zLd1yf0XvN</t>
  </si>
  <si>
    <t>SOS CIUDADANOS</t>
  </si>
  <si>
    <t>CONTRASTANDO: Lo que algunos medios han dicho, y lo que sucedió en realidad‼️ @Santi_ABASCAL defiende la libertad para comer jamón y así lo manipulan algunos: @EFEnoticias @elespanolcom @COPE @La_SER @LaVanguardia @sextaNoticias @vox_es</t>
  </si>
  <si>
    <t>Uno</t>
  </si>
  <si>
    <t>Una cosa le voy a decir a @pablocasado_ y @Santi_ABASCAL: en una región con un 50% de paro juvenil, Gibraltar nos importa bastante poco. Y la gente acaba con la sensación de que usáis esta campaña como campo de batalla para vuestras rencillas nacionales. #DebateCanalSur</t>
  </si>
  <si>
    <t>Quien no quiere hacer algo siempre encuentra una excusa, quien quiere hacer algo siempre encuentra un motivo.</t>
  </si>
  <si>
    <t>Ni izquierda, ni centro, ni derecha; todos ellos términos que se prestan a la demagogia. Aquí nos referimos a la política en términos de buena o mala gestión.</t>
  </si>
  <si>
    <t>Jesús Barberá⚡</t>
  </si>
  <si>
    <t>Hicimos ruido y no nos callarán, los fascistas fuera de nuestros barrios! @vox_es @VoxChiclana @Santi_ABASCAL @Ortega_Smith ✊</t>
  </si>
  <si>
    <t>VOX Jaén</t>
  </si>
  <si>
    <t>Chiclana, Cádiz</t>
  </si>
  <si>
    <t>1999. Fórmula 1. #MakeChesterProud @LinkinPark @SkilletMusic @PapaRoach</t>
  </si>
  <si>
    <t>Miguel Rodríguez 616</t>
  </si>
  <si>
    <t>#DebateEleccionesAND se han olvidado los de canal sur de invitar a @Santi_ABASCAL de #Vox a su debate. Continúa la campaña desinformativa de los medios que solo dan voz a los mismos. Los que los financian...</t>
  </si>
  <si>
    <t>Marbella</t>
  </si>
  <si>
    <t>A los Granainos en Málaga nos llaman Pirañas. Somos Boquerones con malafollá. Padre, motero y ahora barquero.</t>
  </si>
  <si>
    <t>http://www.flickr.com/photos/raistlinm/</t>
  </si>
  <si>
    <t>info@jaen.voxespana.es</t>
  </si>
  <si>
    <t>Cuenta Oficial de VOX en la provincia de Jaén. Por la libertad, la unidad de España y la regeneración democrática. Somos provida y profamilia. 📲 691137405</t>
  </si>
  <si>
    <t>http://www.voxespana.es/jaen</t>
  </si>
  <si>
    <t>Creator Pijua</t>
  </si>
  <si>
    <t>Menudo remake de está grabando en Andalucía con @Santi_ABASCAL</t>
  </si>
  <si>
    <t>https://pbs.twimg.com/media/DsZMw-ZWwAEh3Yh.jpg</t>
  </si>
  <si>
    <t>Hago memes,videomontajes,hago cosas. (Todo con el móvil) Miembro del @ECDLMM</t>
  </si>
  <si>
    <t>DEDICADO A TODOS LOS ANDALUCES...VOTAD URGENTE A @vox_es Y @Santi_ABASCAL</t>
  </si>
  <si>
    <t>https://pbs.twimg.com/media/DsZMsz2XgAYGdBi.jpg</t>
  </si>
  <si>
    <t>Kralem</t>
  </si>
  <si>
    <t>Hola @Santi_ABASCAL @vox_es Yo tengo muy claro mi voto.</t>
  </si>
  <si>
    <t>https://pbs.twimg.com/media/DsZKDOXXcAA7uOT.jpg</t>
  </si>
  <si>
    <t>26 años | Youtuber | +20.000 Suscriptores | No importa que hablen bien o mal de ti, lo importante es que hablen | Andalucia</t>
  </si>
  <si>
    <t>http://www.youtube.com/KralemHD</t>
  </si>
  <si>
    <t>TODO EL MUNDO A VOTAR @Santi_ABASCAL</t>
  </si>
  <si>
    <t>https://youtu.be/QTKWHWsZWNU</t>
  </si>
  <si>
    <t>https://pbs.twimg.com/media/DsZJLqqXoAAcM5C.jpg</t>
  </si>
  <si>
    <t>https://www.abc.es/sociedad/abci-profesora-puedo-llorar-castellano-201811190202_noticia.html</t>
  </si>
  <si>
    <t>Pasoslargos</t>
  </si>
  <si>
    <t>Ahí falta el mejor, @Santi_ABASCAL Les iba a dar un revolcón a los 4. Pero no hay webs #DebateCanalSur</t>
  </si>
  <si>
    <t>Votar a la izquierda es garantía de ruina, pero entretanto te hace reír</t>
  </si>
  <si>
    <t>Sergio Márquez</t>
  </si>
  <si>
    <t>Todos y todas a la manifestación #españaviva @vox_es @GandiaGymYang @APalomarGarcia @asuar_ @JoseMa_Llanos @albertt75 @Juan_A_Morales @Santi_ABASCAL @Alysenda @josetosan72 @hispanototal @AbaranVox @Romer3141592 @Taxitronco @CiudadLinealVox @AlgecirasVox @gerona_vox @cid_lauri</t>
  </si>
  <si>
    <t>https://pbs.twimg.com/media/DsZFoK9WsAIeJ83.jpg</t>
  </si>
  <si>
    <t>Comunidad Valenciana, España</t>
  </si>
  <si>
    <t>militante de Vox. you tube Sergio Márquez (Rincón Español)</t>
  </si>
  <si>
    <t>Pero lo que peligran son las pensiones de nuestros mayores que se han tirado toda la vida trabajando. TODOS EN MASA A VOTAR @Santi_ABASCAL</t>
  </si>
  <si>
    <t>https://pbs.twimg.com/media/DsZBCh8WsAEXPb8.jpg</t>
  </si>
  <si>
    <t>Canal 33 Madrid</t>
  </si>
  <si>
    <t>“¿Sigue vivo el franquismo?” Pregunta de esta noche en ‘Aquí Opinamos Todos (AOT)’ A partir de las 21,30 horas. Opine a través de Whatsapp 661 05 80 33 y teléfono de plató 91 360 00 72 @CiudadanosCs @gabrielrufian @Santi_ABASCAL @memoriandalucia</t>
  </si>
  <si>
    <t>https://pbs.twimg.com/media/DsY8tuNXgAA-oyo.jpg</t>
  </si>
  <si>
    <t>Televisión local de Madrid, desde 1994, ahora en TDT. Programación social, participativa y vecinal.</t>
  </si>
  <si>
    <t>http://www.canal33.info</t>
  </si>
  <si>
    <t>El PP quería cubrirse ante la corrupción que inunda su partido. El PSOE contentar a sus socios golpistas. Pero pudo más la dignidad de Marchena que, como Llarena, demostró que el poder judicial está parando el golpe político tanto en Barcelona como en Madrid.España no merece esto RT @Santi_ABASCAL: El juez Manuel Marchena da una lección de dignidad, patriotismo e independencia renunciando a la posición que le brindaba el pacto partidista...y seguirá siendo quien juzgue a los separatistas golpistas. ¡BRAVO!</t>
  </si>
  <si>
    <t>https://twitter.com/Santi_ABASCAL/status/1064801520397496322
https://www.elespanol.com/espana/tribunales/20181120/marchena-descarta-presidente-poder-judicial-reivindica-independencia/354714705_0.html</t>
  </si>
  <si>
    <t>Ignominioso</t>
  </si>
  <si>
    <t>Raro, raro, raro que ni @pablocasado_ ni @Albert_Rivera ni @Santi_ABASCAL hayan comentado esto... RT @NBCNews: WATCH: Fights broke out between far-right protesters and feminist anti-fascist activists at a rally marking the death of the Spanish dictator Francisco Franco.</t>
  </si>
  <si>
    <t>https://twitter.com/NBCNews/status/1064533485883441154</t>
  </si>
  <si>
    <t>https://pbs.twimg.com/media/DsX7PqNWsAArLxH.jpg</t>
  </si>
  <si>
    <t>Desarraigo</t>
  </si>
  <si>
    <t>NO LE GUSTO A NADIE Y PUNTO</t>
  </si>
  <si>
    <t>Brian Castro.</t>
  </si>
  <si>
    <t>Siempre libre</t>
  </si>
  <si>
    <t>Manipula una noticia para asociar a los votantes de PP, Ciudadanos y VOX con individuos que han agredido a mujeres. ¿No van a decir nada al respecto @vox_es @Santi_ABASCAL @Ortega_Smith @PPopular @CiudadanosCs ? RT @pnique: En este vídeo de Euronews se ve algo que no se ha difundido mucho en medios españoles. Una manada pateando a mujeres indefensas. Estos posibles votantes de PP, C's o Vox se creerán muy machitos, pero está claro que hay que ser cobarde y muy poco hombre. Bravas @FemenSpain. 💪</t>
  </si>
  <si>
    <t>Escribiendo para @minutoespana // Escribo lo que pienso, no lo que me hacen pensar. En @Vox_es // Somos la España que madruga 🇪🇸</t>
  </si>
  <si>
    <t>Amare patriae est nostra lex</t>
  </si>
  <si>
    <t>Proyecto NAUTILUS</t>
  </si>
  <si>
    <t>Vox Jerez de la Fra.</t>
  </si>
  <si>
    <t>✅⏺❎ ¡¡¡¡ IMPRESIONANTE !!!! 400 personas abarrotando "EL PICO DE ORO" para escuchar a @Santi_ABASCAL con @Ortega_Smith en Chiclana para dar a conocer el libro de "La España Viva" #AndaluciaporEspaña</t>
  </si>
  <si>
    <t>https://pbs.twimg.com/media/DsYwSShXgAEwgVI.jpg</t>
  </si>
  <si>
    <t>Jose MedXr™</t>
  </si>
  <si>
    <t>Qué dices de los votantes de @vox_es ? @pnique ? Preocúpate de los tuyos, o es qué nos tienes miedo a @Santi_ABASCAL y su equipo?</t>
  </si>
  <si>
    <t xml:space="preserve">Albatera (Alicante), España. </t>
  </si>
  <si>
    <t>Soy el único protagonista de mi vida, los demás son actores secundarios. Ideológicamente de Mou. Españolisimo y a mucha honra! 🇪🇸 #TheWalkingDead💀</t>
  </si>
  <si>
    <t>Dulce Núñez</t>
  </si>
  <si>
    <t>Hala, pero si hoy es vuestro día @Vox_es @Santi_ABASCAL :) #DiaMundialDelRetrete</t>
  </si>
  <si>
    <t>Graduada en Derecho. 💚💚💜♀️💜♀️💜💚💚 No hay barrera, cerradura, ni cerrojo que puedas imponer a la libertad de mi mente. Virginia Woolf</t>
  </si>
  <si>
    <t>https://www.instagram.com/dulce_nu/?hl=es</t>
  </si>
  <si>
    <t>RadioSick</t>
  </si>
  <si>
    <t>Ey @Santi_ABASCAL y gente de @vox_es, cada vez que soltáis una gilipollez del estilo de "comeremos jamón les moleste a los islamistas o a los animalistas" se me ocurre que podríais comeros otra cosa. Por cierto, felicidades a todos vosotros, hoy es el #DiaMundialDelRetrete 💩</t>
  </si>
  <si>
    <t>pic.twitter.com/8kZIWZeQL7</t>
  </si>
  <si>
    <t>XVX. Produzco temas, remixes, mashups, mixtapes, juegos, comics, camisetas, amor... todo con el material del que están hechos los sueños.</t>
  </si>
  <si>
    <t>https://radiosick.com</t>
  </si>
  <si>
    <t>AEzki 🎗🎗🎗</t>
  </si>
  <si>
    <t>Hola @pablocasado_ , @Albert_Rivera y @Santi_ABASCAL #AltsasukoakASKE @gallifantes @JonInarritu @jonathanmartinz @DiarioFatxo</t>
  </si>
  <si>
    <t>https://pbs.twimg.com/media/DsYh-6YXoAIAmfs.jpg</t>
  </si>
  <si>
    <t xml:space="preserve"> Bardulia, La Navarra maritima</t>
  </si>
  <si>
    <t>Informatikari euskalduna. System.out.println(); http://lavidaenunbit.blogspot.com http://instagram.com/aezkiaga</t>
  </si>
  <si>
    <t>http://www.aezkiaga.com</t>
  </si>
  <si>
    <t>📸En Chiclana a punto de comenzar con @Santi_ABASCAL el acto de presentación del libro 📔 "La España Viva" en el Pico de Oro de Chiclana. Con el Campeón del Mundo XTERRA en la categoría en Tándem @pepetandem 🏅 en Hawaii #AndalucíaporEspaña @VoxChiclana</t>
  </si>
  <si>
    <t>https://pbs.twimg.com/media/DsYhkpIWsAEw3xV.jpg</t>
  </si>
  <si>
    <t>Muy Buenas tardes Alternativa VOX desde Huelva un cordial saludo. @santi_Abascal , deja claro que España debe recuperar las soberaniaa completa y hacer una apuesta por la industrialización dela zona. vida a @VOX_es vota "Andalucía por España.. RT @Alternativa_VOX: 📹 @Santi_ABASCAL deja claro que España debe recuperar la soberanía completa sobre Gibraltar y hacer una apuesta por la industrialización de la zona. #GibraltarEspañol ✅ Vota a @vox_es, vota #AndalucíaPorEspaña 🇪🇸</t>
  </si>
  <si>
    <t>https://twitter.com/Alternativa_VOX/status/1064571506599043074</t>
  </si>
  <si>
    <t>pic.twitter.com/jZNIjN8Zc4</t>
  </si>
  <si>
    <t>https://elpais.com/ccaa/2013/11/05/madrid/1383681128_991964.html?id_externo_rsoc=FB_CC</t>
  </si>
  <si>
    <t>Catalunya 2017 🎗</t>
  </si>
  <si>
    <t>El sr @Santi_ABASCAL y sus cachorros mentiran tantas veces como sea necesario para llegar a ser alguién. RT @PadMediaFiles: ¿Es el fascismo y el nazismo de izquierdas? COMPARTE!!</t>
  </si>
  <si>
    <t>https://twitter.com/PadMediaFiles/status/1064488514220425218
https://youtu.be/8MHo6PArV7k</t>
  </si>
  <si>
    <t>pic.twitter.com/ZuIgiu7a6r</t>
  </si>
  <si>
    <t>Mòn.</t>
  </si>
  <si>
    <t>Tot està per començar !</t>
  </si>
  <si>
    <t>https://twitter.com/ComptadorRep/status/1042026374683418625?s=19</t>
  </si>
  <si>
    <t>Diego García Sausor</t>
  </si>
  <si>
    <t>Os defenderéis como toca no? @vox_es @PPopular @CiudadanosCs @Santi_ABASCAL @pablocasado_ @Albert_Rivera RT @pnique: En este vídeo de Euronews se ve algo que no se ha difundido mucho en medios españoles. Una manada pateando a mujeres indefensas. Estos posibles votantes de PP, C's o Vox se creerán muy machitos, pero está claro que hay que ser cobarde y muy poco hombre. Bravas @FemenSpain. 💪</t>
  </si>
  <si>
    <t>Español y Valenciano, xoto a mas no poder AmunT, siempre recordare la magia de vicentin en mestalla v14persempre! pele o maradona? no hay comparacion... O REI</t>
  </si>
  <si>
    <t>Alejandro López</t>
  </si>
  <si>
    <t>📷Prensa La fotografía no entiende de ideologías (@MonederoJC - @susanadiaz - @Santi_ABASCAL - @pablocasado_ ) 👀en la WEB🌐👉</t>
  </si>
  <si>
    <t>https://lorrysfoto.wordpress.com/prensa/</t>
  </si>
  <si>
    <t>https://pbs.twimg.com/media/DsYP7rEXcAIlvp_.jpg</t>
  </si>
  <si>
    <t>Salamanca</t>
  </si>
  <si>
    <t>Buscador de momentos, captador de emociones 📷 @CBAvenida @CampusMartaFdez @CampusRudy @encancha @lokosbaloncesto 📝@Mas_Baloncesto #Instagram: alex_lorrys</t>
  </si>
  <si>
    <t>https://lorrysfoto.wordpress.com/</t>
  </si>
  <si>
    <t>TODOS A VOTAR A ESTE JOVEN Y ATRACTIVO LÍDER... @Santi_ABASCAL</t>
  </si>
  <si>
    <t>https://pbs.twimg.com/media/DsYP7k9WwAAmG0i.jpg</t>
  </si>
  <si>
    <t>ALIANZA NACIONAL</t>
  </si>
  <si>
    <t>Esto es solo el comienzo, después viene la jijad...@Santi_ABASCAL @pablocasado_ RT @tierralejana: Inmigrantes musulmanes reclamando DERECHOS en España. ¿Los católicos gozan de algún DERECHO en países musulmanes?</t>
  </si>
  <si>
    <t>https://twitter.com/tierralejana/status/1064528770604982272
https://twitter.com/yolandacmorin/status/1064469970371919873</t>
  </si>
  <si>
    <t>EL COMUNISMO NO ES UNA IDEOLOGÍA, ES UNA PSICOPATÍA...UN COMUNISTA ES UNA SER FRACASADO, RESENTIDO LLENO DE ENVIDIA Y UNAS GANAS INMENSAS DE ROBAR...</t>
  </si>
  <si>
    <t>http://opinionesextremas.blogspot.com/</t>
  </si>
  <si>
    <t>amparameque</t>
  </si>
  <si>
    <t>Adrián Sánchez</t>
  </si>
  <si>
    <t>Pa 2019 y alguien dice Gibraltar español sin ser broma😰 me alegro de que tu visita me haya pillado de viaje y espero que el aire contaminado que tenemos siempre en el Campo de Gibraltar te haya dado cáncer @Santi_ABASCAL RT @Santi_ABASCAL: ¡GIBRALTAR ESPAÑOL! 🇪🇸 Hoy en el Campo de Gibraltar todo el día visitando Los Barrios y La Línea de la Concepción y conociendo de primera mano los problemas de la zona: paraíso fiscal británico, narcotráfico, contrabando, inmigración ilegal, desindustrialización y desempleo.</t>
  </si>
  <si>
    <t>El derecho y el deber, son como palmeras: no dan fruto si no crecen uno al lado del otro.</t>
  </si>
  <si>
    <t>https://twitter.com/Santi_ABASCAL/status/1064225700222246912</t>
  </si>
  <si>
    <t>https://pbs.twimg.com/media/DsTjoDnWwAkgtrx.jpg</t>
  </si>
  <si>
    <t>Vitoria-Gasteiz, España</t>
  </si>
  <si>
    <t>Andabamos sin buscarnos aunque sabiendo que andabamos para encontrarnos y aunque no creo en el amor a primera vista creo en el querer a primera noche</t>
  </si>
  <si>
    <t>http://Instagram.com/Mellaman_negro</t>
  </si>
  <si>
    <t>Alicia Castro Msv 🇪🇸</t>
  </si>
  <si>
    <t>Así se hace , en la calle con los jóvenes. Así es @Santi_ABASCAL el mejor político del momento.</t>
  </si>
  <si>
    <t>Álvaro Martín</t>
  </si>
  <si>
    <t>Para los que pensáis que @vox_es es algo diferente, que vienen a cambiar la política de España... leed este artículo y podréis ver cómo @Santi_ABASCAL es un señor que lleva viviendo toda su vida de la política. Toda.</t>
  </si>
  <si>
    <t>#EspañaViva</t>
  </si>
  <si>
    <t>Torrelavega, España</t>
  </si>
  <si>
    <t>Padre (2👶🏻). Ingeniero Químico. Consejero Político Nacional de UPYD. Portavoz de UPYD Cantabria. Mis opiniones son eso, opiniones. Y mías, solo mías.</t>
  </si>
  <si>
    <t>Los millones de españoles demócratas que votaron al PP y a Rajoy se deben sentir muy indignados y frustrados hoy. Por eso yo voto VOX POR UNA ESPAÑA VIVA Y UNIDA SIN CORRUPCIÓN Y SIN TRAIDORES Y mercenarios. @FJL_EsRadio @Ortega_Smith @Santi_ABASCAL @monasterioR VIVA VOX VOTO VOX RT @Armandoablanco: El asesor electoral de @pablocasado_ y presidente de #GAD3 nos plantea una encuesta para defender el #VotoInutil al @PPopular , otorgándole solo a @vox_es entre 0-1 representantes. 😂😂 Ya hay medios que otorgan a #VOX 4 representantes y llave de gobierno.🇪🇸🇪🇸🇪🇸 #VOXUtil</t>
  </si>
  <si>
    <t>https://twitter.com/Armandoablanco/status/1064453759533764608</t>
  </si>
  <si>
    <t>https://pbs.twimg.com/media/DsWzC-mX4AAd2SO.jpg</t>
  </si>
  <si>
    <t>Bosnio</t>
  </si>
  <si>
    <t>Yo hasta que @Santi_ABASCAL no recupere Gibraltar para la Nación no pienso votar a @vox_es</t>
  </si>
  <si>
    <t>Una, Grande y Libre</t>
  </si>
  <si>
    <t>Las palabras necias me dejaron sordo// Gastándome el PER en el bar</t>
  </si>
  <si>
    <t>Predicador de Balate</t>
  </si>
  <si>
    <t>Cada vez estoy más convencido que Vox y @Santi_ABASCAL están a sueldo de la Secta porque le hacen media programación. Son una mina para el Ferreras y su pandi.</t>
  </si>
  <si>
    <t>Los que se creen que pueden manipular a los jueces como si fueran sus ujieres (ya se han dado cuenta de que no) tratan a los electores como si fueran sus esclavos. Pues tampoco.El PP andaluz es como el Partido Popular polaco durante el comunismo, una coartada para que nada cambie RT @elespanolcom: El PP declara la guerra a Vox: "Votarles es ayudar a los socialistas"</t>
  </si>
  <si>
    <t>https://pbs.twimg.com/media/DsX9BHJWkAAucu2.jpg</t>
  </si>
  <si>
    <t>No me sigan. Yo también estoy perdido.😎Se bebe a bordo.👶</t>
  </si>
  <si>
    <t>The Opinator</t>
  </si>
  <si>
    <t>👏👏👏👏👏👏👏👏👏 El estado y sus orgías de gasto, nos hunden en la santa miseria. Ya sea el amoroso tándem @PPopular / @PSOE ó los futuribles @CiudadanosCs @ahorapodemos , incluso los potentes marginales de @voxnoticias_es con el vividor @Santi_ABASCAL , seguirán la senda. RT @juanrallo: Durante la última década, familias y empresas han reducido su endeudamiento en 570.000 millones de euros; el Estado, en cambio, la ha aumentado en 770.000 millones. La auténtica austeridad la ha practicado el sector privado, no el público.</t>
  </si>
  <si>
    <t>https://twitter.com/juanrallo/status/1064514688661241857</t>
  </si>
  <si>
    <t>Universe</t>
  </si>
  <si>
    <t>😇 Visc en una terra, que serà un Estat. Un Somni? no, una realitat. // #CAT // ***Soy critico en todo y contra todo*** Perspectiva, Paciència i Perceverança.</t>
  </si>
  <si>
    <t>A España le costó siglos liberarse de los moros musulmanes y ahora los comunistas promueven la reconquista abriendo las fronteras a millones de ellos. @FJL_EsRadio @Ortega_Smith @Santi_ABASCAL @monasterioR VIVA VOX VOTO VOX POR UNA ESPAÑA VIVA SIN TRAIDORES Y SIN COMUNISTAS</t>
  </si>
  <si>
    <t>TODOS EN MASA A VOTAR @Santi_ABASCAL RT @Portabales_Hijo: Donaciones en B Sobresueldos en B Afiliados en B Tarjetas en B Trajes en B Jaguars en B Confeti en B Áticos en B Másters en B Obras de la sede en B Bodas en el Escorial en B Contabilidad B Amigos en el #PSOE en B ...Oh my friend!! Vota✌🙈😂👏 #PartidoPopular #PSOE #Justicia0</t>
  </si>
  <si>
    <t>https://twitter.com/Portabales_Hijo/status/1064532227411849217</t>
  </si>
  <si>
    <t>https://pbs.twimg.com/media/DsX6Z50X4AAqVqN.jpg</t>
  </si>
  <si>
    <t>LO QUE NOS FALTABA...TODOS EN MASA VOTAR A @Santi_ABASCAL RT @socialpi_es: ¿Opinas que España debe presentar su candidatura conjunta con Marruecos para organizar el Mundial 2030? ⚽️</t>
  </si>
  <si>
    <t>https://twitter.com/socialpi_es/status/1064532159229251584</t>
  </si>
  <si>
    <t>TODOS A VOTAR A @Santi_ABASCAL RT @mariano9605: La foto de 'El rey del cachopo' con Rajoy y Cifuentes que avergüenza al PP via @El_Plural  Las redes llaman la atención sobre el hecho de que los populares parecen contar con retratos "con todos los delincuentes de España"</t>
  </si>
  <si>
    <t>https://twitter.com/mariano9605/status/1063867224027529221
https://www.elplural.com/fuera-de-foco/la-foto-de-el-rey-del-cachopo-con-rajoy-y-cifuentes-que-avergueenza-al-pp_206530102</t>
  </si>
  <si>
    <t>Inma</t>
  </si>
  <si>
    <t>Diferencias: @Santi_ABASCAL visitando pueblos y barrios de España interesándose por los problemas de los españoles. @sanchezcastejon visitando países del mundo con la churri fardando de falconete y de estilo Kennedy, a que mola? RT @Santi_ABASCAL: Jornada intensa visitando La Línea de La Concepción y Los Barrios en #Cadiz para conocer los problemas de desempleo, acoso a pescadores españoles, narcotráfico, contrabando y desinduatrialización provocados en el Campo de Gibraltar por la colonia convertida en paraíso fiscal.</t>
  </si>
  <si>
    <t>https://twitter.com/Santi_ABASCAL/status/1064274984414126080</t>
  </si>
  <si>
    <t>pic.twitter.com/nJImpRBR7C</t>
  </si>
  <si>
    <t>🇪🇸🦇Ser Española,un Honor .🇪🇸🦇Ser Valenciana,Un Titulo 🇪🇸🦇Sentirse Valenciana un Orgullo ❤️💛❤️ MAS IMPACTA EL LOBO CALLADO QUE EL PERRO LADRANDO🇪🇸</t>
  </si>
  <si>
    <t>TODOS EN MASA A VOTAR @Santi_ABASCAL</t>
  </si>
  <si>
    <t>https://pbs.twimg.com/media/DsX5rSSW0AI8dbd.jpg</t>
  </si>
  <si>
    <t>TODOS EN MASA A VOTAR @Santi_ABASCAL RT @pablocasado_: El Secretario de organización del PSOE habla de un posible adelanto electoral. Dejen de jugar con las fechas, cumplan con el compromiso de Sánchez y convoquen elecciones para que los españoles decidan si en España deben seguir mandando Torra y Otegi. #VotaGarantíadeCambio #VotaPP</t>
  </si>
  <si>
    <t>https://twitter.com/pablocasado_/status/1064523978725908481</t>
  </si>
  <si>
    <t>pic.twitter.com/zVnc1udDrc</t>
  </si>
  <si>
    <t>Âdrįęń Loðbrók</t>
  </si>
  <si>
    <t>Hola @Santi_ABASCAL me han dicho que sois los carlistas del siglo XXI, puedes confirmarme?</t>
  </si>
  <si>
    <t>Siberia</t>
  </si>
  <si>
    <t>Descendiente directo de Odín</t>
  </si>
  <si>
    <t>🔴 #ENPORTADA La formación de @Santi_ABASCAL ha venido a añadir una dificultad más a las opciones del PP-A, ya que @vox_es puede “quitar” tres diputados al @PPopular por las circunscripciones de Córdoba, Sevilla y Almería</t>
  </si>
  <si>
    <t>https://www.elindependiente.com/politica/2018/11/19/el-pp-a-hace-frente-a-vox-entendemos-que-quieras-votarle-pero-solo-ayuda-a-susana/?utm_source=share_buttons&amp;utm_medium=twitter&amp;utm_campaign=social_share2</t>
  </si>
  <si>
    <t>https://pbs.twimg.com/media/DsX2kckWkAE1D5b.png</t>
  </si>
  <si>
    <t>La malversación de los golpistas catalanes es muy grave por cuanto se trata de utilizar el dinero de los españoles para financiar un golpe contra España y millones de personas en Cataluña que no desean separarse de España. @FJL_EsRadio @Ortega_Smith @Santi_ABASCAL @monasterioR</t>
  </si>
  <si>
    <t>El juez Manuel Marchena da una lección de dignidad, patriotismo e independencia renunciando a la posición que le brindaba el pacto partidista...y seguirá siendo quien juzgue a los separatistas golpistas. ¡BRAVO!</t>
  </si>
  <si>
    <t>https://www.elespanol.com/espana/tribunales/20181120/marchena-descarta-presidente-poder-judicial-reivindica-independencia/354714705_0.html</t>
  </si>
  <si>
    <t>Ejemplo de lo dicho por @Santi_ABASCAL en #Vistalegre: recuperar competencias: "centralistas madrileños aunque seamos de Córdoba y mil veces Fachas"😂😂😂😂 RT @DaniGimenez5: @VoxCordoba @vox_es Ah ya veo como funciona!! Hay que mezclar una idea rancia y fachosa (centralización) con una idea de sentido común (igualdad en la sanidad) que listos estos de Vox</t>
  </si>
  <si>
    <t>https://twitter.com/DaniGimenez5/status/1064512700108218373</t>
  </si>
  <si>
    <t>VOX ES LA SOLUCIÓN. Hay que redoblar esfuerzo. No menos de 800 mil votos para VOX. Solo faltan unos días. Hay que dejar las suelas de los zapatos visitando a los amigos invitándoles a votar por La España viva. @FJL_EsRadio @Ortega_Smith @Santi_ABASCAL @monasterioR VIVA VOX RT @Alternativa_VOX: 🔴📈 La encuesta de @SociometricaEs para @elespanolcom otorga a @vox_es una fuerte entrada en el parlamento de Andalucía con el 5,6% de los votos y 3 escaños. Hagamos que el próximo 2 de diciembre este resultado sea mucho mayor💪🏻🇪🇸 #VOXAvanza</t>
  </si>
  <si>
    <t>https://twitter.com/Alternativa_VOX/status/1064444398472175616</t>
  </si>
  <si>
    <t>https://pbs.twimg.com/media/DsWqiKGXoAAR3_o.jpg</t>
  </si>
  <si>
    <t>Juan M Castañeda</t>
  </si>
  <si>
    <t>Y Santi Abascal, en furgoneta, para optimizar gastos. Porque lo pagamos los afiliados de VOX RT @numer344: Casado coge el AVE para viajar a Andalucía, Rivera su coche, y Pedro Sánchez un avión privado por 9.000 euros. Que no falte de ná!!</t>
  </si>
  <si>
    <t>https://twitter.com/numer344/status/1064665661622968322
https://okdiario.com/espana/2018/11/19/casado-viajo-andalucia-ave-rivera-coche-sanchez-avion-privado-9-000-euros-3366935</t>
  </si>
  <si>
    <t>No me gusta lo que veo</t>
  </si>
  <si>
    <t>ADELANTE ANDALUCES, ADELANTE ESPAÑOLES AL CUADRADO, ANDALUCIA POR ESPAÑA @pablocasado_ @PPdeSevilla @ppcordobayto @pp_cordoba @ppcadiz @ppgranada @PPMalaga @ierrejon @ahorapodemos @Santi_ABASCAL @monasterioR #VOXGanaAndalucia #AndaluciaPorEspaña #VOXAvanzaAndalucia RT @vox_es: 📣🇪🇸 Próximos actos públicos de la #EspañaViva ⬇️ 🚩 19/11 CHICLANA con @Santi_ABASCAL @Ortega_Smith y @pedro_fhz 🚩 20/11 CÓRDOBA con @Santi_ABASCAL @Ortega_Smith y @FSerranoCastro 🚩 23/11 LINARES con @Ortega_Smith y @FSerranoCastro 🚩 1/12 MADRID ¡Te esperamos!</t>
  </si>
  <si>
    <t>https://twitter.com/vox_es/status/1064512187543273472</t>
  </si>
  <si>
    <t>https://pbs.twimg.com/media/DsXnPQ2WwAYKQ3v.jpg</t>
  </si>
  <si>
    <t>Sobretodo @vox_es y @Santi_ABASCAL no tienen complejos RT @VOXSevilla: Francisco Serrano: "Somos el partido de la luz, de la familia, la esperanza y la indignación. Frente a la España de la mugre y la turbiedad ofrecemos transparencia y limpieza en nuestras ideas".</t>
  </si>
  <si>
    <t>https://twitter.com/VOXSevilla/status/1064447996555862017
https://www.diariosur.es/elecciones/andaluzas/recogido-espiritu-protesta-20181119230322-nt.html</t>
  </si>
  <si>
    <t>Laura Cid</t>
  </si>
  <si>
    <t>🔊🔊🔊🔊🔊Este lunes 19/11 a las 19:30 no te pierdas en Chiclana (Cádiz)la presentación del libro La #EspañaViva 🇪🇸 con @Santi_ABASCAL @Ortega_Smith y @pedro_fhz. Recordad también el link para colaborar con las elecciones andaluzas👇👇  #AndalucíaPorEspaña</t>
  </si>
  <si>
    <t>https://www.voxespana.es/campana-electoral-andaluzas</t>
  </si>
  <si>
    <t>https://pbs.twimg.com/media/DsXpTVGWoAE8QUb.jpg</t>
  </si>
  <si>
    <t>Buenos días VOX desde Huelva un cordial saludo. "Santi _Abascal en Cadiz "Desde que llego Casado hemos pasado de 7¡.000 a 16.0000 afiliados " RT @vox_es: 📰 @Santi_ABASCAL en Cádiz: “Desde que llegó Casado hemos pasado de 7.000 a 16.000 afiliados”  vía @diariocadiz 📣 #AndalucíaPorEspaña 🇪🇸</t>
  </si>
  <si>
    <t>🇪🇸Economista, madre de familia, enamorada de la vida, colaborando con el proyecto de VOX y orgullosa de ser española 🇪🇸</t>
  </si>
  <si>
    <t>https://twitter.com/vox_es/status/1064653974597484549
https://www.diariodecadiz.es/_4d98f724</t>
  </si>
  <si>
    <t>nøe</t>
  </si>
  <si>
    <t>he soñado que santi abascal se metia conmigo por dm sjfjwjdha</t>
  </si>
  <si>
    <t>Santiago Abascal: “El que quiera comer sólo lechuga que lo haga libremente. Y el que quiera comer jamón que lo pueda hacer” @vox.es @santi_abascal  vía @ElentirVigo</t>
  </si>
  <si>
    <t>Murcia, Spain</t>
  </si>
  <si>
    <t>im the comic sans of humans l⚧ intp-t| @n0existo_</t>
  </si>
  <si>
    <t>https://curiouscat.me/weask_</t>
  </si>
  <si>
    <t>A ESTE TIPO HAY QUE ECHARLO DE ESPAÑA...QUE SE VAYA A SU TIERRA...TODOS A VOTAR EN MASA A @Santi_ABASCAL</t>
  </si>
  <si>
    <t>http://elmetropolitanodemadrid.blogspot.com/2018/11/echenique-asegura-que-los-patean.html</t>
  </si>
  <si>
    <t>📣🇪🇸 Próximos actos públicos de la #EspañaViva ⬇️ 🚩 19/11 CHICLANA con @Santi_ABASCAL @Ortega_Smith y @pedro_fhz 🚩 20/11 CÓRDOBA con @Santi_ABASCAL @Ortega_Smith y @FSerranoCastro 🚩 23/11 LINARES con @Ortega_Smith y @FSerranoCastro 🚩 1/12 MADRID ¡Te esperamos!</t>
  </si>
  <si>
    <t>AHORA RESULTA QUE TERESA RODRÍGUEZ, LA CANDIDATA DE PODEMOS PARA ANDALUCÍA QUIERE CONVERTIR ANDALUCÍA EN UNA NACION...Y DEJA DE MANIFIESTO QUE PODEMOS QUIERE DIVIDIR ESPAÑA Y DESTRUIRLA TOTAL.. PSOE TENDRÁ QUE PACTAR CON PODEMOS Y ES DE EXTREMA NECESIDAD VOTAR A @Santi_ABASCAL</t>
  </si>
  <si>
    <t>👇 A medida que avanza la campaña, crece el número de asistentes a los actos de @vox_es: 400 jóvenes en Sevilla, 1.000 personas en El Ejido (Almería), 3.000 en Málaga… La primera batalla del @PPopular con el partido de @Santi_ABASCAL se dará en Andalucía</t>
  </si>
  <si>
    <t>Ricardo Calleja</t>
  </si>
  <si>
    <t>Ya lo tengo. Ya sé a quién me recuerda el fenómeno @Santi_ABASCAL, qué lugar está ocupando en nuestro cerebro con sus fotos: ¡es el primo de Zumosol!</t>
  </si>
  <si>
    <t>https://www.youtube.com/watch?v=eSnvSlFDEdc</t>
  </si>
  <si>
    <t>Airam Soler</t>
  </si>
  <si>
    <t>Qué cosa más fea el puto traje nuevo de Steven universe me cago en Dios me entran ganas de pasar un rato charlando con Santi Abascal antes que tener que ver semejante atrocidad de nuevo hostia puta.</t>
  </si>
  <si>
    <t>I teach Business Ethics and tweet on business and economic ethics, politics, law, technology and liberal education.</t>
  </si>
  <si>
    <t>Harambe will never come back.</t>
  </si>
  <si>
    <t>Luis Durán Estany</t>
  </si>
  <si>
    <t>Pasen y vean. Campamento marxista-leninista...¿Que mierda es esto? @vox_es @Santi_ABASCAL @ldpsincomplejos @javiernegre10</t>
  </si>
  <si>
    <t>https://youtu.be/RF8a8VAIP2c</t>
  </si>
  <si>
    <t xml:space="preserve">La Coruña </t>
  </si>
  <si>
    <t>Padre, marido, español, gallego. Vivo de enseñar a la gente a hacer deporte y vivir de forma saludable.</t>
  </si>
  <si>
    <t>Jose Manuel</t>
  </si>
  <si>
    <t>Muchas gracias por las felicitaciones!!! #UngaUngaArmy #noalindulto #CustodiaCompartida #existen @PPopular @vox_es @CiudadanosCs @joseluissariego @Santi_ABASCAL @Albert_Rivera @pablocasado_ RT @CarrascoAntonia: Feliz día internacional del hombre!Es hora de visibilizar vuestras vulnerabilidades. Ello no os hace menos hombres. No permitamos que se os siga deshumanizando. No permitamos que se os ponga en un rango moral de segunda #EXISTEN</t>
  </si>
  <si>
    <t>https://twitter.com/CarrascoAntonia/status/1064442222676979712</t>
  </si>
  <si>
    <t>https://pbs.twimg.com/media/DsWojmoWkAEgo9I.jpg</t>
  </si>
  <si>
    <t>https://www.elespanol.com/espana/20181117/vox-quiere-coma-jamon-colegios-moleste-islamistas/353965001_0.html</t>
  </si>
  <si>
    <t>Capitán Pescaitofrito 🎗 🔻</t>
  </si>
  <si>
    <t>Es gracioso porque de toda la vida @Santi_ABASCAL desde su posición política nunca ha combatido los paraísos fiscales, la desindustrialización o el desempleo.  RT @Santi_ABASCAL: ¡GIBRALTAR ESPAÑOL! 🇪🇸 Hoy en el Campo de Gibraltar todo el día visitando Los Barrios y La Línea de la Concepción y conociendo de primera mano los problemas de la zona: paraíso fiscal británico, narcotráfico, contrabando, inmigración ilegal, desindustrialización y desempleo.</t>
  </si>
  <si>
    <t>En mis tiempos, cuando algún cretino escribía demasiadas tonterías en Twitter, le pasábamos las manos por la quilla.</t>
  </si>
  <si>
    <t>http://www.banquilleros.com</t>
  </si>
  <si>
    <t>Buenas tardes VOX desde Huelva un cordial saludo de un afliado a VOX Huelva presentación del libro 2La España Viva Conversaciones con doce dirigentes de VOX este lunes 19 de noviembre en CHICLANA con @Santi_Abascal y @pedro_fitz Te esperamos. RT @vox_es: 📚 Presentación del libro `La #EspañaViva 🇪🇸 Conversaciones con doce dirigentes de VOX` este lunes 19 de noviembre en CHICLANA con @Santi_ABASCAL @Ortega_Smith y @pedro_fhz ¡Te esperamos! 😉✌ ➡ Adquirir libro:</t>
  </si>
  <si>
    <t>Este martes 20 de noviembre la #EspañaViva llega a Córdoba. ¡Andalucía por España! #VotaVOX ¡ACTO PÚBLICO!</t>
  </si>
  <si>
    <t>https://twitter.com/vox_es/status/1064484078970437632
https://leerporleer.com/?product=la-espana-viva</t>
  </si>
  <si>
    <t>https://pbs.twimg.com/media/DsXOjbqXQAImZgv.jpg</t>
  </si>
  <si>
    <t>Jimina</t>
  </si>
  <si>
    <t>Santi Abascal ha encontrado su feria soñada 🎡 🐎 🇪🇸</t>
  </si>
  <si>
    <t>https://pbs.twimg.com/media/DsZp2icWwAA0GRY.jpg</t>
  </si>
  <si>
    <t>Si me obligas a elegir, elijo el bando contrario al tuyo.</t>
  </si>
  <si>
    <t>tess</t>
  </si>
  <si>
    <t>https://medium.com/@jiminasabad?source=linkShare-b8105ab58b93-1520935591</t>
  </si>
  <si>
    <t>Te mereces que por imputar un delito a los posibles votantes de @CiudadanosCs @Albert_Rivera @vox @Santi_ABASCAL @PPopular @pablocasado_ se querellasen contra ti. Que bajo caes @pnique más aún si cabe de lo que vais a caer en las próximas elecciones por vuestras manipulaciones RT @pnique: En este vídeo de Euronews se ve algo que no se ha difundido mucho en medios españoles. Una manada pateando a mujeres indefensas. Estos posibles votantes de PP, C's o Vox se creerán muy machitos, pero está claro que hay que ser cobarde y muy poco hombre. Bravas @FemenSpain. 💪</t>
  </si>
  <si>
    <t>Entre ceja y ceja</t>
  </si>
  <si>
    <t>Semper animus iocandi y con visión caleidoscópica de la vida. Tengo ángel y demonios. 😇😈😈</t>
  </si>
  <si>
    <t>#AgendaVOX #Hoy en #Chiclana tenemos cita a las 19.30h con @Santi_ABASCAL @Ortega_Smith y @pedro_fhz Moderador #GonzaloAltozano RT @vox_es: 📚 Presentación del libro `La #EspañaViva 🇪🇸 Conversaciones con doce dirigentes de VOX` este lunes 19 de noviembre en CHICLANA con @Santi_ABASCAL @Ortega_Smith y @pedro_fhz ¡Te esperamos! 😉✌ ➡ Adquirir libro:</t>
  </si>
  <si>
    <t>jose antonio garcia</t>
  </si>
  <si>
    <t>Cuando se darán cuenta @PPopular @CiudadanosCs y @vox_es que el enemigo a batir en las urnas es @sanchezcastejon y toda la chusma , que quieren destruir España , que le apoyan Ari que dejen de pelearse entre ustedes @pablocasado_ @Albert_Rivera @Santi_ABASCAL .</t>
  </si>
  <si>
    <t>Bienaventurados los.misericordiosos porque ellos alcanzaran misericordia</t>
  </si>
  <si>
    <t>Nathan Lelarge</t>
  </si>
  <si>
    <t>Estoy leyendo la entrevista de @Santi_ABASCAL ¡excelente! @vox_es no es un Partido de ultraderecha es un Partido de ultranecesidad. 🇪🇸</t>
  </si>
  <si>
    <t>https://pbs.twimg.com/media/DsXTk5KXQAE_qQ6.jpg</t>
  </si>
  <si>
    <t>Brest, France</t>
  </si>
  <si>
    <t>militant @RNational_off | #jesuisFrancais</t>
  </si>
  <si>
    <t>Realista3.0</t>
  </si>
  <si>
    <t>Panfleto subvencionado independentista incitando y promoviendo el autosacrificio, vamos los mártires de toda la vida de ISIS... PD:@sanchezcastejon @Albert_Rivera @pablocasado_ @Santi_ABASCAL @guardiacivil @policia @PoderJudicialEs @fiscal_es</t>
  </si>
  <si>
    <t>https://www.vilaweb.cat/noticies/disposats-a-morir/</t>
  </si>
  <si>
    <t>JUNTOS GANAMOS PALENCIA</t>
  </si>
  <si>
    <t>ACLARACION,LA CONVOCATORIA LA HACE ESPAÑA RESPONDE Y EL SEÑOR JOSE MANUEL OPAZO,NO MIENTA SR @Santi_ABASCAL ,los permisos y autorizaciones las tiene el señor OPAZO. #ABASCALDIGALAVERDAD RT @Santi_ABASCAL: 🔴 La plataforma la "España Viva” y @fdenaes convocan a todos los españoles a sumarse a la concentración en la plaza Colón de Madrid el próximo sábado 1 de diciembre a las 12:00 para evitar la impunidad de los golpistas, e invitan al PP, Ciudadanos y VOX a intervenir en la misma</t>
  </si>
  <si>
    <t>https://twitter.com/Santi_ABASCAL/status/1064183336254521345</t>
  </si>
  <si>
    <t>https://pbs.twimg.com/media/DsS9GHAWsAEloWg.jpg</t>
  </si>
  <si>
    <t>Palencia</t>
  </si>
  <si>
    <t>Formación política palentina,formada por ciudadanos hartos de los gobernantes que gobiernan Palencia.</t>
  </si>
  <si>
    <t>💭</t>
  </si>
  <si>
    <t>Mi hermano poniéndome el discurso de Santi Abascal de Málaga... hoy, precisamente, ahora, pidiéndome el voto... mira,...</t>
  </si>
  <si>
    <t>📚 Presentación del libro `La #EspañaViva 🇪🇸 Conversaciones con doce dirigentes de VOX` este lunes 19 de noviembre en CHICLANA con @Santi_ABASCAL @Ortega_Smith y @pedro_fhz ¡Te esperamos! 😉✌ ➡ Adquirir libro:</t>
  </si>
  <si>
    <t>the art of eye contact</t>
  </si>
  <si>
    <t>https://leerporleer.com/?product=la-espana-viva</t>
  </si>
  <si>
    <t>🔴 No te pierdas esta tarde en Chiclana a las 19:30 la charla-presentación del libro “La España Viva” con @pedro_fhz, @Ortega_Smith y @Santi_ABASCAL. 📍Salones Pico de oro ¡No puedes faltar!</t>
  </si>
  <si>
    <t>https://pbs.twimg.com/media/DsXLB_UXQAEQs7r.jpg</t>
  </si>
  <si>
    <t>Roberto Sánchez</t>
  </si>
  <si>
    <t>España 2018: - Apoyar a los pro-etarras y agresores de Alsasua: Progresismo - Apoyar a las víctimas de Alsasua: Extrema Derecha Y todavía alguno habla de voto útil.... Viva la Extrema Derecha!!! @Santi_ABASCAL @vox_es #VOXAvanza #VOX @Ortega_Smith @monasterioR @voxjovenes</t>
  </si>
  <si>
    <t>Seguidor acérrimo de la NBA, la F1 y el Fútbol. De los Knicks, Pistons y Culé. Derecho en la USAL. VOX 🇪🇸🇪🇸🇪🇸 Youtube: RoberSR</t>
  </si>
  <si>
    <t>VOX Alcoy</t>
  </si>
  <si>
    <t>🗨 @Santi_ABASCAL "Llamamos a todos los españoles sin distinción de siglas, ni de ideologías, ni de lugar de residencia a una gran manifestación nacional para el próximo 1 de diciembre en Madrid a través de la plataforma España Viva que invita a todos los partidos".</t>
  </si>
  <si>
    <t>https://pbs.twimg.com/media/DsXBaYcXcAAjzZv.jpg</t>
  </si>
  <si>
    <t>Alcoy, España</t>
  </si>
  <si>
    <t>🇪🇸 Cuenta oficial de @vox_es en #Alcoy 📧 info@alicante.voxespana.es 📱 682844459</t>
  </si>
  <si>
    <t>http://www.voxespana.es/alicante</t>
  </si>
  <si>
    <t>Pepe Aparicio</t>
  </si>
  <si>
    <t>Una hoja de ruta bien trazada en aquellas reuniones con Roures y su fiel Ferreras, culminada con la visita de Soros a @sanchezcastejon en Moncloa. O creeis q la sumisiòn de @Pablo_Iglesias_ a Sanchez es gratuita? Ya pueden espabilar @pablocasado_ , @Santi_ABASCAL y @CiudadanosCs RT @BenegasJ: Los comunistas posmodernos ya han tomado ciudades como Madrid, Barcelona, Valencia, Zaragoza, Pamplona... Ya gobiernan en coalición con el doctor Sánchez... No penséis que es una gripe que se pasará con unas cuantas pastillas electorales. Así empezó la pesadilla en otros lugares.</t>
  </si>
  <si>
    <t>https://twitter.com/BenegasJ/status/1064452543470813185</t>
  </si>
  <si>
    <t>Liberal, Moderado, defensor de valores como familia y amistad. Natural de Aranjuez, apasionado de Valencia. Lo que no soporto es la demagogia. CMU NEBRIJA</t>
  </si>
  <si>
    <t>🈳🐙🈳 Octopus on Fire 🔥</t>
  </si>
  <si>
    <t>"Por qué criticáis solo a la izquierda?" Porque si @Santi_ABASCAL dice un comentario de broma poco menos que se activa el protocolo de emergencia nacional, y mientras... 👇 RT @GulagDark: Si Falange tuviese un campo de adiestramiento cómo los comunistas que van a las manis con Podemos, sería noticia.</t>
  </si>
  <si>
    <t>https://twitter.com/GulagDark/status/1064186881578057728</t>
  </si>
  <si>
    <t>pic.twitter.com/V1Xpp0HA9I</t>
  </si>
  <si>
    <t>Follow, RT &amp; fav =/= endorsement. Musician/Mixer/Producer. http://soundcloud.com/octopusonfire-1 MI lista de deseos de Amazon: https://www.amazon.es/gp/registry/wish</t>
  </si>
  <si>
    <t>https://www.discogs.com/user/OctopusOnFire/collection</t>
  </si>
  <si>
    <t>Miguel Guirao</t>
  </si>
  <si>
    <t>A individuos como este, cn 52 detenciones previas, ciudadano de la UE se le debería expulsar del país. @vox_es @Santi_ABASCAL sería posible? RT @elmundoes: Un ladrón en fuga llamó a la sala del 091 en varias ocasiones pidiendo que le dejaran de perseguir.</t>
  </si>
  <si>
    <t>https://twitter.com/elmundoes/status/1064449613057404928
https://trib.al/HqYHv1Q</t>
  </si>
  <si>
    <t>Madrileño coruñés. MIR Anestesia y Rea. Médico voluntario en Samur-PC.</t>
  </si>
  <si>
    <t>edp ||★||🎗</t>
  </si>
  <si>
    <t>Vamos a hablar claro? lo de @pablocasado_ @Albert_Rivera y @Santi_ABASCAL es fascismo, ya sé que en España a muchos os hacen gracia las barbaridades que sueltan sobre lo que pasa en Catalunya y sobre los catalanes, pero es fascismo y punto .... ok?</t>
  </si>
  <si>
    <t>Girona, Catalunya</t>
  </si>
  <si>
    <t>Ho veig tot tant clar que a vegades m'espanto!! Català, republicà i de Girona!</t>
  </si>
  <si>
    <t>http://edp.cat</t>
  </si>
  <si>
    <t>QUERIDOS ANDALUCES @Santi_ABASCAL ES EL QUE OS DARÁ JAMONCITO, FLAMENQUITO..ORUJO Y SEMANA SANTA...PORQUE PSOE/PODEMOS OS LO QUITARÁN TODO LO VUESTRO PARA COMPLACER A MUSULMANES ...PENSARLO BIEN ANTES DE VOTAR!!!!</t>
  </si>
  <si>
    <t>ESPAÑOLES TODO EL QUE APLAUDE EL ANARQUISMO PERROFLAUTA DE PODEMOS ES UN DESTRUCTOR DE ESPAÑA QUE HAY QUE DARLE UNA PATADA EN EL TRASERO Y SE LARGUE FUERA FE ESPAÑA ECHANDO LECHES...Y ESO SÓLO LO CONSEGUIREMOS VOTANDO A @vox_es Y @Santi_ABASCAL</t>
  </si>
  <si>
    <t>QUERIDOS ANDALUCES, SUSANA DÍAZ VA A PACTAR CON PODEMOS QUE PARA COMPLACER A SUS CAMARADAS MUSULMANES VAN A PROHIBIR EL JAMÓN.. EL VINO, EL FLAMENCO Y LA SEMANA SANTA..PENSARLO..TODOS LOS ANDALUCES EN MASA A VOTAR AL GRAN @Santi_ABASCAL</t>
  </si>
  <si>
    <t>malakahin</t>
  </si>
  <si>
    <t>Yo estoy esperando que entre Santi Abascal a caballo al plató de #DebateCanalSur gritando por Santiago y Cierra España desenfundando a Tizona.</t>
  </si>
  <si>
    <t>BUENOS DÍAS TROPA...!!!! VOX, VOX, VOX........ LOS ESPAÑOLES PRIMERO!!!!! TODOS A VOTAR A NUESTRO GRAN ÍDOLO CADA DÍA MÁS ADMIRADO Y QUERIDO @Santi_ABASCAL</t>
  </si>
  <si>
    <t>he dedicido no callarme.</t>
  </si>
  <si>
    <t>" @Santi_ABASCAL defiende la libertad para comer jamón… y así lo manipulan algunos"</t>
  </si>
  <si>
    <t>https://pbs.twimg.com/media/DsWlkXUXQAAJlyx.jpg</t>
  </si>
  <si>
    <t>CON @vox_es Y @Santi_ABASCAL</t>
  </si>
  <si>
    <t>https://pbs.twimg.com/media/DsWklguX4AAylPK.jpg</t>
  </si>
  <si>
    <t>El Cid</t>
  </si>
  <si>
    <t>Este es el camino de la #NuevaReconquista. Vemos con satisfacción que #VoxAvanza gracias a la valentía de @Santi_ABASCAL, @Ortega_Smith, @monasterioR y todo el equipo de @vox_es. Así debe ser. Gracias a todos. #EspañaLoPrimero #VivaEspaña RT @voxnoticias_es: 🔴📈 Nueva encuesta que publica @SociometricaEs para @elespanolcom: ✅ VOX se afianza como fuerza parlamentaria en Andalucía, rozando el 6% de los votos ↗️ De los 0-2 escaños que se le daban hace una semana, pasa a tener 1-3 💪🏻🇪🇸 ¡Comienza la Reconquista! #AndalucíaPorEspaña</t>
  </si>
  <si>
    <t>https://twitter.com/voxnoticias_es/status/1064293464077144066</t>
  </si>
  <si>
    <t>https://pbs.twimg.com/media/DsUhQ2sXgAE1LJv.jpg</t>
  </si>
  <si>
    <t>Al servicio de España 🇪🇸</t>
  </si>
  <si>
    <t>Naci en Vivar del Cid (Burgos). Siempre he servido con lealtad a mi patria. Vencí a los moros cabalgando muerto sobre Babieca. 🇪🇸¡¡¡#VivaEspaña!!!🇪🇸</t>
  </si>
  <si>
    <t>TONI HDEZ</t>
  </si>
  <si>
    <t>Esperemos @Vox_SCTenerife y @vox_canarias obtenga representación en instituciones públicas Canarias en elecciones autonómicas y locales 19 @Santi_ABASCAL</t>
  </si>
  <si>
    <t>Ingeniero técnico industrial.Técnico Superior PRL. MBA Administración y Dirección Empresas. Cursando Grado en Economía</t>
  </si>
  <si>
    <t>#NOESTÁISSOLOS</t>
  </si>
  <si>
    <t>Cuando uno lee artículos como este ocurren dos cosas: dan ganas de vomitar y segundo entiende pq @vox_es @Santi_ABASCAL @Ortega_Smith etc son de extrema necesidad</t>
  </si>
  <si>
    <t>Menchu</t>
  </si>
  <si>
    <t>Mi cerebro asocia el nombre de Santi Abascal a esta imagen.</t>
  </si>
  <si>
    <t>https://www.elespanol.com/espana/politica/20181119/controlaremos-sala-segunda-cosido-justificando-psoe-cgpj/354214577_0.amp.html?__twitter_impression=true</t>
  </si>
  <si>
    <t>https://pbs.twimg.com/media/DsZVtvLWsAI7V8B.jpg</t>
  </si>
  <si>
    <t>Aquí solo puede acampar quien tenga la capacidad de admirar lo bueno de los demás y dar lo mejor de si mismo</t>
  </si>
  <si>
    <t>Al sur del sur.</t>
  </si>
  <si>
    <t>🐢</t>
  </si>
  <si>
    <t>JOSE</t>
  </si>
  <si>
    <t>Hola, buenos días, @pablocasado_ @Albert_Rivera y @Santi_ABASCAL . Os recomiendo ésto hoy, por si queréis leer algo mientras tomáis el café en el Starbucks de turno. De nada ... RT @JoaquimBoschGra: Esta es una de esas historias que nos hacen creer en la humanidad. "Llamémosle Hassán" de @josemuelas. Nos muestra la relevante función de la abogacía y el papel del Derecho como ley del más débil. No se la pierdan, porque se perderán algo importante</t>
  </si>
  <si>
    <t>https://twitter.com/JoaquimBoschGra/status/1064111218191933440
https://josemuelas.org/2018/11/16/llamemosle-hassan/</t>
  </si>
  <si>
    <t>Me interesan las causas justas y tengo principios, pero no como los de Groucho ... quizá por éso soy del Atleti ...</t>
  </si>
  <si>
    <t>Pedro Sánchez Matas</t>
  </si>
  <si>
    <t>LOS DOS VASCOS Y ESPAÑOLES VIERON A ESPAÑA EN PELIGRO Y DEMOSTRARON CON HECHOS SU AMOR A ESPAÑA Y A LOS ESPAÑOLES. Una nación no se pierde porque unos la ataquen, sino porque quienes la aman no la defienden. Blas de Lezo. Almirante español. 1689-1741 @Santi_ABASCAL #ConfíoEnVOX RT @HispaniaSpain: Libertad, soberanía, seguridad, justicia. Se llama @vox_es</t>
  </si>
  <si>
    <t>Pánfilo Martín Ruiz</t>
  </si>
  <si>
    <t>Me ha gustado un vídeo de @YouTube ( - La TENSA entrevista de Cristina L. Schlichting a SANTI ABASCAL (VOX)).</t>
  </si>
  <si>
    <t>https://twitter.com/HispaniaSpain/status/1064260333425037317</t>
  </si>
  <si>
    <t>pic.twitter.com/azWvfXDuCS</t>
  </si>
  <si>
    <t>http://youtu.be/CzPw1AMoHaM?a</t>
  </si>
  <si>
    <t>Hay muy pocos hombres, y son las excepciones, que puedan pensar y sentir más allá del momento presente.(K.V.Clausewitz) #Abogado #DirectordeSeguridad #UNED 🇪🇸</t>
  </si>
  <si>
    <t>S/C de Tenerife</t>
  </si>
  <si>
    <t>Francisco X. Dávalos</t>
  </si>
  <si>
    <t>VOX en Andalucía. @MoranteTour y @vox_es Por la #EspañaViva @Santi_ABASCAL</t>
  </si>
  <si>
    <t>https://pbs.twimg.com/media/DsWTNJSWoAIcTs3.jpg</t>
  </si>
  <si>
    <t>GPB sediciós</t>
  </si>
  <si>
    <t>Què diríeu si Santi Abascal digués "que viene Vox, encierren a sus hijas"? Pregunta seriosa</t>
  </si>
  <si>
    <t>Made in San Francisco de Quito</t>
  </si>
  <si>
    <t>#Catholic #PSC Del @Tomorrowland. Gastrónomo, Adoptado Tendido 7, Madridista, Aficionado Práctico. Gerente Ganaderos de Lidia Ecuador @ACGLE L∴I∴F∴ #22N</t>
  </si>
  <si>
    <t>http://Instagram.com/fdavaloso</t>
  </si>
  <si>
    <t>Animalista per sobre de tot. Tuitejo el que em surt de les pilotes, si no t'agrada, la porta és gran😀😀😀</t>
  </si>
  <si>
    <t>Los 20 tuits más RTs de @santi_abascal @joninarritu @tonicanto1 @quimtorraipla @jaumeclotet @gabrielrufian @albert_rivera @albiol_xg @agarzon @rosadiezglez @adacolau @krls @girautaoficial el domingo 18 de noviembre</t>
  </si>
  <si>
    <t>https://twitter.com/trendinaliaES/timelines/1064400139152875520</t>
  </si>
  <si>
    <t>En Valencia Vox es de extrema necesidad...no se puede seguir así @vox_es @Santi_ABASCAL @JoseMa_Llanos @LlanosMasso @ldpsincomplejos</t>
  </si>
  <si>
    <t>https://www.lasprovincias.es/politica/factura-catalanismo-consell-valencia-20181118224352-nt.html</t>
  </si>
  <si>
    <t>El que dice que hay que eliminar las autonomías, AHORA SE PRESENTA a ellas, verdad @Santi_ABASCAL ? ... te lo recordaremos en tus elecciones, a ti NO TE CREE ni el heladero ... YO NO VOTO a vagos y vividores. @vox_es @dehesas1959 @JUAN_JARA_ESP @noe__info</t>
  </si>
  <si>
    <t>https://latribunadeespana.com/espana/vox-es-igual-a-podemos-un-voto-a-vox-es-un-voto-a-podemos?fbclid=IwAR2U6FFfUACjoPIBskrDqhNf0VltzqvROnSBLBhjXi6N5eMxNC9MvqMJvuI#.W_F2bChLQxw.facebook</t>
  </si>
  <si>
    <t>Supongo que la "señora" @susanadiaz, que acaba de firmar un acuerdo para proteger la caza, habrá visto el vídeo. O @Santi_ABASCAL, que ha lanzado una proclama en favor de la caza y contra los animalistas. Escoria. RT @CafeLucha: Al HDLGP cazador que dejó a sus perros despeñarse mientras se empeña en asesinar un venado: Te deseo una larga vida en la que todos los días te atormente algo, hasta el día en que dejes este mundo aquejado de veinte enfermedades dolorosas, solo y consciente. (No pongo el vídeo)</t>
  </si>
  <si>
    <t>https://twitter.com/CafeLucha/status/1064241152671531009</t>
  </si>
  <si>
    <t>Hoy, una vez más, La Secta informando de VOX y la #EspanaViva 😆😆😆: @vox_es @Santi_ABASCAL #EleccionesAndaluzas #EleccionesAndalucia #VOXUtil @canasporespana #EleccionesYa #FelizLunes #VOXAvanza</t>
  </si>
  <si>
    <t>pic.twitter.com/AFDZWS6JLN</t>
  </si>
  <si>
    <t>Murcia</t>
  </si>
  <si>
    <t>luis mayorgas bergil</t>
  </si>
  <si>
    <t>Con los pies en el suelo y con mucho coraje han llegado a Andalucia @Santi_ABASCAL y todo su equipo para enmendar los errores de 40 años de saqueo RT @victoriah991: Que VOX nos libre de la tiranía comunista, que defienda las fronteras de nuestra patria, que nos libre de la discriminación territorial y nos devuelva la LIBERTAD #VoxAvanza imparable #VOXUtil y necesario #AndalucíaPorEspaña 🇪🇸 #AndalucíaVotaVOX por el fin de la corrupción</t>
  </si>
  <si>
    <t>https://twitter.com/victoriah991/status/1064281941640470534</t>
  </si>
  <si>
    <t>https://pbs.twimg.com/media/DsUWx76X4AANRuH.jpg</t>
  </si>
  <si>
    <t>Resulta curioso que después de tantos años en el gobierno el @PPopular y @pablocasado_ sigan los pasos que @vox_es marcó desde el principio y del que no se ha desviado un ápice, lo que confirma, una vez más, su oportunismo electoral. A continuar por la senda de @Santi_ABASCAL RT @vox_es: ⚔🇪🇸 #GibraltarEspañol España debe⤵️ ✅ Recuperar la soberanía. ✅ Ofrecer una esperanza a los habitantes del campo de Gibraltar apostando por la reindustrialización. ✅ Acabar con las mafias del narcotráfico. ✅ Garantizar que los pescadores puedan faenar en nuestras aguas.</t>
  </si>
  <si>
    <t>https://twitter.com/vox_es/status/1064278775511347200</t>
  </si>
  <si>
    <t>pic.twitter.com/gBDP6yifVm</t>
  </si>
  <si>
    <t>Beltrán</t>
  </si>
  <si>
    <t>Bonito fin de semana hemos tenido en el Campo de Gibraltar con @pablocasado_ y @Santi_ABASCAL diciendo: Gibraltar español. 🤷🏻‍ Se nota que le dedican el mismo tiempo a estudiar historia como a buscar soluciones para la comarca... Menos banderas y más trabajo y seguridad.</t>
  </si>
  <si>
    <t>🏀🎭 🇪🇸🍊 #Rz</t>
  </si>
  <si>
    <t>Míster.Vixtor</t>
  </si>
  <si>
    <t>Ojalá encontrar una mujer que me quiera tanto, como @Santi_ABASCAL quiere a su país.</t>
  </si>
  <si>
    <t>Montalbán, España</t>
  </si>
  <si>
    <t>Ahora si que si, se caga la perra. Zaragoza 🔄 Montalbán 🏡</t>
  </si>
  <si>
    <t>Gibraltar español!!! 🇪🇸🇪🇸🇪🇸 @vox_es @Santi_ABASCAL #EspañaViva #VotaAVox</t>
  </si>
  <si>
    <t>pic.twitter.com/IO29Oik2oN</t>
  </si>
  <si>
    <t>BANCAJA ahora BANKIA - ESTAFA!!!</t>
  </si>
  <si>
    <t>Que propone @vox_es para las personas con #discapacidad @eerr_es Medicamentos genéricos, #PensionesDignas y nuevo baremo de movilidad reducida. Q 1 persona con Invalidez Absoluta Pte o Gran Invalidez cobre paga de 3 veces IPREM al igual q 1 victima del terrorismo. @Santi_ABASCAL RT @vox_es: 🚨📊 Nueva encuesta que publica mañana @elespanolcom Andalucía: ✅ Según los datos @SociometricaEs la irrupción de VOX en el Parlamento andaluz es segura. ↗️ Del 4,2% de los votos y los 0-2 escaños que se le daban hace una semana, pasa al 5,6% y 1-3 representantes 💪🇪🇸</t>
  </si>
  <si>
    <t>https://twitter.com/vox_es/status/1064282153482113027</t>
  </si>
  <si>
    <t>https://pbs.twimg.com/media/DsUW-fWWkAAJpp5.jpg</t>
  </si>
  <si>
    <t>Málaga, Andalucia, todaESPAÑA</t>
  </si>
  <si>
    <t>Seguros de vida en HIPOTECAS la Gran ESTAFA!. Discapacidad INVISIBLE! La Asignatura PENDIENTE de la Justicia. Enfermo de #Crohn LUCHANDO por nuestros Derechos!!</t>
  </si>
  <si>
    <t>er rubash</t>
  </si>
  <si>
    <t>Hola @Santi_ABASCAL, si @vox_es está en contra de las autonomías... Por qué se presenta en ellas? No lo entiendo muy bien 🤷</t>
  </si>
  <si>
    <t>Vigo Cidade Fermosa</t>
  </si>
  <si>
    <t>La vida es eso que pasa mientras esperas.</t>
  </si>
  <si>
    <t>Odriozolismo</t>
  </si>
  <si>
    <t>Llenando escenarios macho. Pareces @Santi_ABASCAL RT @davidbroncano: VALENCIA 🔋💎💥</t>
  </si>
  <si>
    <t>https://twitter.com/davidbroncano/status/1064238968697487362</t>
  </si>
  <si>
    <t>https://pbs.twimg.com/media/DsTvsIdWwAAKz25.jpg</t>
  </si>
  <si>
    <t>Madridista y Mourinhista.</t>
  </si>
  <si>
    <t>El Correo de Madrid</t>
  </si>
  <si>
    <t>VOX obtendrá tres diputados en Andalucía  vía @CorreoDeMadrid @voxnoticias_es @Santi_ABASCAL @Ortega_Smith @Juanerpf @monasterioR @VOXSevilla @voxalmeria @canasporespana @debate_es @PioMoa1 @JVSantacreu @vox_es</t>
  </si>
  <si>
    <t>https://www.elcorreodemadrid.com/nacional/376078027/VOX-obtendra-tres-diputados-en-Andalucia.html</t>
  </si>
  <si>
    <t>Un diario de Madrid con una clara tendencia municipalista al servicio de España. http://www.elcorreodemadrid.com</t>
  </si>
  <si>
    <t>Todo Sondeos</t>
  </si>
  <si>
    <t>🚨🚨📊📊 Encuesta de @SociometricaEs para el @elespanolcom donde le dan a la formación de @Santi_ABASCAL entre 1-3 escaños con el 5,6% de los votos. El @PSOE y el @PPopular en descenso, @AdelanteAND sube en escaños y @CiudadanosCs la formación que más sube. #objetivoDebate</t>
  </si>
  <si>
    <t>https://pbs.twimg.com/media/DsUepSXX4AUKmMk.jpg</t>
  </si>
  <si>
    <t>Community of Madrid, Spain</t>
  </si>
  <si>
    <t>Cuenta de Twitter del Blog "Todo Sondeos" dedicado a sondeos electorales</t>
  </si>
  <si>
    <t>https://todosondeos.blogspot.com/</t>
  </si>
  <si>
    <t>🚨🚨🚨 @vox_es adelanta una encuesta de @SociometricaEs para el @elespanolcom donde le dan a la formación de @Santi_ABASCAL entre 1-3 escaños con el 5,6% de los votos. El @PSOE y el @PPopular en descenso, @AdelanteAND sube en escaños y @CiudadanosCs la formación que más sube</t>
  </si>
  <si>
    <t>https://pbs.twimg.com/media/DsUYNlyXQAAI3o-.jpg</t>
  </si>
  <si>
    <t>Fumate La Actualidad</t>
  </si>
  <si>
    <t>Tomen nota @sanchezcastejon @pablocasado_ @Albert_Rivera @Santi_ABASCAL</t>
  </si>
  <si>
    <t>pic.twitter.com/dXp0rlX6m2</t>
  </si>
  <si>
    <t>Repartiendo a todos</t>
  </si>
  <si>
    <t>Pedro Fenol</t>
  </si>
  <si>
    <t>🇪🇸 Claro que sí!! podéis imaginar que en 🇺🇸 USA el país de las libertades les prohíban dar a sus hijos Hot dog en los colegios por molestar sentimientos religiosos!! @Vox_Murcia @Vox_SanPedro @Santi_ABASCAL #EspañaViva RT @laSextaTV: VÍDEO | Vox defiende "comer jamón en los colegios" aunque "moleste a los islamistas"</t>
  </si>
  <si>
    <t>https://twitter.com/laSextaTV/status/1063923488434634758
http://atres.red/atgkz4</t>
  </si>
  <si>
    <t>San Pedro del Pinatar, Murcia</t>
  </si>
  <si>
    <t>Concejal San Pedro del Pinatar, trabajando por los ciudadanos de San Pedro</t>
  </si>
  <si>
    <t>EL CORSO</t>
  </si>
  <si>
    <t>#SexoEnSalvados S.O.S. ESTO PASA EN ESPAÑA. EL VIDEO REVUELVE LAS TRIPAS. ESTA ES LA ESPAÑA QUE QUIERE LA EXTREMA IZQUIERDA NECESITAMOS @vox_es @Santi_ABASCAL @Ortega_Smith VIVA ESPAÑA Y LA RECONQUISTA, Y NUESTRO PRIMER REY PELAYO RT @desamparadosb: Valencia, esto es lo que quieren PSOE, PP, Podemos y resto de partidos que han dejado entrar a todos estos sin decir ni mu, ahora son pocos, dentro de un año el triple, sin comentarios ¿para qué? 😞😞😞</t>
  </si>
  <si>
    <t>https://twitter.com/desamparadosb/status/1064239555627442176</t>
  </si>
  <si>
    <t>pic.twitter.com/nwZ5e38v5d</t>
  </si>
  <si>
    <t>Siermpre desconfio de una opinión unánime...sobre todo si viene de la PROGRECRACIA de lo políticamente correcto...</t>
  </si>
  <si>
    <t>Vota @vox_es @Santi_ABASCAL RT @Juanerpf: Ya están en España las manifestaciones islamistas ¿hasta cuando estamos dispuestos a ceder para que implanten su sharia en nuestra patria? #stopIslamizacion</t>
  </si>
  <si>
    <t>https://twitter.com/Juanerpf/status/1064272535452352513</t>
  </si>
  <si>
    <t>pic.twitter.com/8jPfelSdQK</t>
  </si>
  <si>
    <t>Spungen</t>
  </si>
  <si>
    <t>Literalmente en esto es en lo que pienso cuando me imagino a Santi Abascal en su casa</t>
  </si>
  <si>
    <t>Catalatino Cat</t>
  </si>
  <si>
    <t>Santi Abascal @Santi_ABASCAL buscando desesperadamente votantes para su grandiosa obra Regreso al futuro-volver al pasado-pon un unihuevo en tu vida #alertaVox #alertaCs #alertaFatxesFatxendes RT @jpjsalsan: @EsterRubio2 @JordiTruno @Santi_ABASCAL</t>
  </si>
  <si>
    <t>https://pbs.twimg.com/media/DsYejcGWoAA1FNJ.jpg</t>
  </si>
  <si>
    <t>https://twitter.com/jpjsalsan/status/1064267240315514883</t>
  </si>
  <si>
    <t>pic.twitter.com/vo1drdMNIU</t>
  </si>
  <si>
    <t>QQ</t>
  </si>
  <si>
    <t>Republica de Catalunya</t>
  </si>
  <si>
    <t>Els carrers seran sempre nostres. Salut i Republica !!</t>
  </si>
  <si>
    <t>Más comentados esta semana en Derecha/Centro Dcha.: ➀ @sanchezcastejon ↓ ➁ @PPopular ↑ ➂ @PSOE ↑ ➃ @ldpsincomplejos ↑↑ ➄ @Albert_Rivera ↑ ➅ @Santi_ABASCAL ↑↑ ➆ @pablocasado_ ↑ ➇ @ahorapodemos ↑ ➈ @rosadiezglez ↓</t>
  </si>
  <si>
    <t>https://pbs.twimg.com/media/DsUMByXWsAItlxB.jpg</t>
  </si>
  <si>
    <t>Más influyentes esta semana en Derecha/Centro Dcha.: ➀ @ldpsincomplejos ↑↑ ➁ @Santi_ABASCAL ↓ ➂ @rosadiezglez ↓ ➃ @Albert_Rivera ↑ ➄ @Miotroyo2parte ↑ ➅ @CiudadanosCs ↑↑ ➆ @ElAguijon_ ↓ ➇ @Cs_Andalucia ↑↑</t>
  </si>
  <si>
    <t>https://pbs.twimg.com/media/DsULy-eW0AEja24.jpg</t>
  </si>
  <si>
    <t>Ayer estuve en el acto de @vox_es en Málaga y la conclusión que saque es que ya está bien de paños calientes y ánimo a todo votante de @PPopular y @CiudadanosCs, a que hay que dejen de votarlos por Pena o por voto útil, ánimo @Santi_ABASCAL , vas a subir como la espuma, lo huelo</t>
  </si>
  <si>
    <t>David M</t>
  </si>
  <si>
    <t>Porque @Nacho_Abad @Santi_ABASCAL o @carlosherreracr defienden la equiparación para @policia y @guardiacivil y no para #sosprisiones? #TuAbandonoMePuedeMatar #PrisionesEnHuelga #PrisionesSinAgresiones RT @Nadie43778371: Seguimos 💪 #SOSPRISIONES #PrisionesEnHuelga #tuabandonoMePuedeMatar #HuelgaPrisiones</t>
  </si>
  <si>
    <t>https://twitter.com/Nadie43778371/status/1064054459536412672</t>
  </si>
  <si>
    <t>https://pbs.twimg.com/media/DsRH4mGXQAAQnUY.jpg</t>
  </si>
  <si>
    <t>Español, deportista y cansado de tanto cani.</t>
  </si>
  <si>
    <t>Hola @Santi_ABASCAL palabras más repetidas en tweets negativos últimas 24h</t>
  </si>
  <si>
    <t>https://pbs.twimg.com/media/DsUBbwBXcAAMseE.jpg</t>
  </si>
  <si>
    <t>Álex López del Moral</t>
  </si>
  <si>
    <t>ACTO DE CAMPAÑA DE VOX EN CÓRDOBA: @Santi_ABASCAL, @Ortega_Smith, @FSerranoCastro y @AlejandroHVCord. MARTES 20, HOTEL AYRE #CÓRDOBA, 20:00h. ¡¡¡TE ESPERAMOS PARA DEFENDER #AndalucíaPorEspaña!!! #EleccionesAndalucía #EleccionesAndaluzas</t>
  </si>
  <si>
    <t>https://pbs.twimg.com/media/DsUAGZBWoAMuJcu.jpg</t>
  </si>
  <si>
    <t>https://twitter.com/europapress/status/1063850644262580224
https://www.europapress.es/andalucia/malaga-00356/noticia-vox-replica-moreno-pp-voto-util-demostrado-ser-inutiles-40-anos-parecen-oposicion-pactada-20181117150337.html</t>
  </si>
  <si>
    <t>NI SANCHEZ NI CASADO...EL MAS ATRACTIVO PATA LAS FÉMINAS.. EL MÁS VARONIL, SIN NINGUNA DUDA ES SANTI ABASCAL...PARA LAS MUJERES ESPAÑOLAS...TE QUEREMOS TE VOTAREMOS SANTI!!!😉</t>
  </si>
  <si>
    <t>https://pbs.twimg.com/media/DsYNurTXoAIGfDP.jpg</t>
  </si>
  <si>
    <t>Vota VOX</t>
  </si>
  <si>
    <t>Cuando te digan desde el @PPopular , @PSOE , @CiudadanosCs que votar a @vox_es es inútil, diles que los inútiles son ellos y que en 40 años no han hecho nada por Andalucía, solo robar. @Santi_ABASCAL PRESIDENTE</t>
  </si>
  <si>
    <t>https://pbs.twimg.com/media/DsT_R79XQAE8jxM.jpg</t>
  </si>
  <si>
    <t>Andalucía, España</t>
  </si>
  <si>
    <t>Somos de Extrema necesidad</t>
  </si>
  <si>
    <t>ESTE ES AHORA EL HOMBRE MÁS GUAPO DE ESPAÑA.. EL GRAN SANTI ABASCAL...TODO EL MUNDO A VOTARLE URGENTEMENTE!</t>
  </si>
  <si>
    <t>https://pbs.twimg.com/media/DsYMiQSXoAA-e87.jpg</t>
  </si>
  <si>
    <t>EN LA EPOCA DE MIS PADRES Y MIS ABUELOS..LOS ÍDOLOS DE MASAS FUERON ACTORES O CANTANTES DE MUCHÍSIMO ÉXITO PERO AHORA HA NACIDO UN GRAN ÍDOLO DE MASAS DE LA POLÍTICA.. EL GRAN @Santi_ABASCAL ..TODOS A VOTARLE!!!</t>
  </si>
  <si>
    <t>Lo más gracioso de ser español ultracatólico y nacionalista es que casi con toda seguridad llevas sangre judía y mora. Estoy 100% segura de que Santi Abascal tiene antepasados de ambas etnias, tiene toda la cara.</t>
  </si>
  <si>
    <t>https://pbs.twimg.com/media/DsT9owkW0AESBFu.jpg</t>
  </si>
  <si>
    <t>Pare Pitof</t>
  </si>
  <si>
    <t>¡Venga @Santi_ABASCAL, con dos cojones españoles como los tuyos! ¡Declara la guerra a Inglaterra y con un poco de suerte os pasa como en las Malvinas! #fachaflipao RT @Santi_ABASCAL: ¡GIBRALTAR ESPAÑOL! 🇪🇸 Hoy en el Campo de Gibraltar todo el día visitando Los Barrios y La Línea de la Concepción y conociendo de primera mano los problemas de la zona: paraíso fiscal británico, narcotráfico, contrabando, inmigración ilegal, desindustrialización y desempleo.</t>
  </si>
  <si>
    <t>No em barrufen els Gargamels del 155. Des del meu bolet màgic barrufant per construir la República Catalana. BLOCK AUTOMATIC A IDENTITARIS.</t>
  </si>
  <si>
    <t>¡GIBRALTAR ESPAÑOL! 🇪🇸⚔ Hoy en el campo de Gibraltar visitando Los Barrios y La Línea de la Concepción y conociendo sus problemas, paraíso fiscal británico, narcotráfico, contrabando, inmigración ilegal, y desempleo. QUE GUAPO @Santi_ABASCAL ANTE EL PEÑON!</t>
  </si>
  <si>
    <t>https://pbs.twimg.com/media/DsT5D42WoAElaaj.jpg</t>
  </si>
  <si>
    <t>A VOSOTROS @Santi_ABASCAL OS DARÁ PATADA!</t>
  </si>
  <si>
    <t>http://elmetropolitanodemadrid.blogspot.com/2018/10/pablo-iglesias-nos-preparamos-para.html</t>
  </si>
  <si>
    <t>Amartin palencia</t>
  </si>
  <si>
    <t>Cancelan un tradicional recital navideño en un colegio para no ofender a los niños musulmanes  en España esto pasa desde hace tiempo y nadie hace nada. Recuperemos nuestras costumbres y que se respeten @Santi_ABASCAL @monasterioR</t>
  </si>
  <si>
    <t>https://casoaislado.com/cancelan-tradicional-recital-navideno-colegio-no-ofender-los-ninos-musulmanes/</t>
  </si>
  <si>
    <t>Concejal Ayuntamiento Valdemanco.Sanidad, turismo, juventud y festejos. Amante del Arte. Aqui me teneis para lo que necesitéis.</t>
  </si>
  <si>
    <t>https://twitter.com/ericawerner/status/1062446638881476608</t>
  </si>
  <si>
    <t>https://pbs.twimg.com/media/Dr6RS7yWkAEviHz.jpg</t>
  </si>
  <si>
    <t>Sergio Castro</t>
  </si>
  <si>
    <t>Cuando @Santi_ABASCAL habla de ilegalizar asociaciones filocriminales como Arran, Casado hace lo mismo. Cuando lo hace de Gibraltar, Casado va detrás. Cuando no se entera de lo que ha dicho porque Atresmedia lo silencia, apela al voto inútil. Y pretenden que los tomemos en serio</t>
  </si>
  <si>
    <t>Birmingham, England</t>
  </si>
  <si>
    <t>Económicas @IADGOBIERNO UK 🇬🇧 Twitter estrictamente personal</t>
  </si>
  <si>
    <t>http://www.institutoatlanticodegobierno.org</t>
  </si>
  <si>
    <t>Alber Rguez</t>
  </si>
  <si>
    <t>Entre el original .@Santi_ABASCAL .@vox_es y la copia mal hecha .@pablocasado_ .@PPopular para la defensa de #GibraltarEspañol me quedo con el original #AndaluciaPorEspaña #AdelanteVOX 🐎🐎🐎🐎🇪🇸🇪🇸🇪🇸🇪🇸 RT @Santi_ABASCAL: ¡GIBRALTAR ESPAÑOL! 🇪🇸 Hoy en el Campo de Gibraltar todo el día visitando Los Barrios y La Línea de la Concepción y conociendo de primera mano los problemas de la zona: paraíso fiscal británico, narcotráfico, contrabando, inmigración ilegal, desindustrialización y desempleo.</t>
  </si>
  <si>
    <t>https://twitter.com/santi_abascal/status/1064225700222246912</t>
  </si>
  <si>
    <t>León-Valencia. Reino de ESPAÑA</t>
  </si>
  <si>
    <t>Ingeniero superior y licenciado en ciencias ambientales. Liberal &amp; conservador 🇪🇸Español🇪🇸 🦁leonés🦁 🇪🇺europeo🇪🇺 👑 V.E.R.D.E.</t>
  </si>
  <si>
    <t>Viva @vox_es Por que @Santi_ABASCAL sea nuestro próximo presidente de este bendito PAÍS ESPAÑA RT @julaydeandorra: @NavasdTolosaVOX @Alfonbay 👍🇪🇸🇪🇸</t>
  </si>
  <si>
    <t>https://twitter.com/julaydeandorra/status/1063875716792676352</t>
  </si>
  <si>
    <t>https://pbs.twimg.com/media/DsOlUDvWwAAXKUI.jpg</t>
  </si>
  <si>
    <t>calahonda granada</t>
  </si>
  <si>
    <t>What we're dealing with here is a total lack of respect for the law</t>
  </si>
  <si>
    <t>Cuánto te necesita Valencia, cuánto te necesita Cataluña, cuánto te necesita España, @Santi_Abascal RT @CCivicaCatalana: Así se llenan los bolsillos algunos catalanistas en #Valencia bien pagados desde Barcelona: "Climent y su esposa controlan 17 sociedades. Mediante este arsenal, ha recibido mamandurrias de los gobiernos de Pujol y sus sucesores. No menos de 30 millones."</t>
  </si>
  <si>
    <t>https://twitter.com/CCivicaCatalana/status/1064235319116075009
https://cronicaglobal.elespanol.com/pensamiento/vividores-aprovechados-separatismo_200236_102.html?fbclid=IwAR0azaD25312H0EfhwH5B2mpfyZndVt22kN-erw1jtgafestBMgUMjRpV1c</t>
  </si>
  <si>
    <t>raquel</t>
  </si>
  <si>
    <t>Q vergüenza!!!! Cuando se les quite las subvenciones.... verás como no tratan de eso a las personas!!!! @Santi_ABASCAL @JOSEMANUELSOTO1 @monasterioR @demiguel2017 @MariscalZabala RT @DavidIbanez_13: Demostración gráfica de cómo el @PPopular trata de idiotas a los españoles y del miedo que tienen a @vox_es .</t>
  </si>
  <si>
    <t>https://twitter.com/DavidIbanez_13/status/1064202653016776705</t>
  </si>
  <si>
    <t>https://pbs.twimg.com/media/DsTOpewW0AAA0ZP.jpg</t>
  </si>
  <si>
    <t>«¡Por España! y el que quiera defenderla, honrado muera. Y el traidor que la abandone, no tenga quien le perdone, ni en Tierra Santa cobijo...</t>
  </si>
  <si>
    <t>Sra. Justiciera</t>
  </si>
  <si>
    <t>Esperemos que mañana, 19-N Día Internacional del Hombre, algún político y/o medio de comunicación español lo comente y felicite. @Santi_ABASCAL @vox_es @CiudadanosCs @Albert_Rivera @PPopular @A3Noticias @telecincoes @La1_tve @abc_es @elmundoes @COPE @elespanolcom @okdiario</t>
  </si>
  <si>
    <t>Limpiando de basura el repugnante submundo llamado Twitter. Red donde se reune la ignorancia y la demencia, la mala sangre y el demonio.</t>
  </si>
  <si>
    <t>arturo</t>
  </si>
  <si>
    <t>¡Santiago y cierra, España! ¡Viva Santiago Matamoros! En Andalucía, VOX es más necesario que en ninguna parte. @vox_es @Santi_ABASCAL</t>
  </si>
  <si>
    <t>https://pbs.twimg.com/media/DsTiT6gXoAQLORG.jpg</t>
  </si>
  <si>
    <t>Laissez faire et laissez passer, le monde va de lui même.</t>
  </si>
  <si>
    <t>Damian🔻</t>
  </si>
  <si>
    <t>Si me respondes a este tweet prometo votarte @Santi_ABASCAL</t>
  </si>
  <si>
    <t>Sociopata,sin escrupulos,solo me importa el dinero,hago lo que sea por dinero sin importar las consecuencias,estafador,me guio por mis intereses,extorsionador.</t>
  </si>
  <si>
    <t>Andrés Cardenete</t>
  </si>
  <si>
    <t>Que ha dicho en Málaga @Santi_ABASCAL, el de VOX, que en el @PartidoPACMA nos gustan mucho las "lechugas". Normal, ¿no? Si tú también eres #GenteDeCorazón y prefieres la lechuga a tanto chorizo, ya sabes, #VotaPACMA #ElCorazónDeAndalucía</t>
  </si>
  <si>
    <t>https://twitter.com/vox_es/status/1063871157747757057
https://www.libertaddigital.com/espana/2018-11-17/vox-replica-al-pp-sobre-el-voto-util-han-demostrado-ser-inutiles-40-anos-1276628401/</t>
  </si>
  <si>
    <t>Periodista. Experto en comunicación. Candidato de #ElCorazónDeAndalucía (@PartidoPACMA) por Jaén. #VotaPACMA #2D</t>
  </si>
  <si>
    <t>http://www.andrescardenete.com</t>
  </si>
  <si>
    <t>Patente De Paciencia</t>
  </si>
  <si>
    <t>Infórmate bien de lo que ha dicho @Santi_ABASCAL y luego rebuznas o callas. RT @Cowboyenparo: Lo de VOX reivindicando el derecho a comer jamón como si alguien se lo impidiera es la versión facha de "El Papa no nos deja comernos las almejas" y similares. Era cuestión de tiempo que explotasen lo de luchar contra opresiones y dictaduras inexistentes, como hacen los otros.</t>
  </si>
  <si>
    <t>https://twitter.com/Cowboyenparo/status/1064103483304017920</t>
  </si>
  <si>
    <t>Cristiana, agradecida a Dios por darme una hermosa familia... pro-vida. Eis qui sine peccato est vestrum primus in illan lapiden mittat.</t>
  </si>
  <si>
    <t>Sergi(o) 🎗✊🏼</t>
  </si>
  <si>
    <t>Para molestar... más infantil no puedes ser @Santi_ABASCAL. RT @_okdario: ÚLTIMA HORA | Santi Abascal promete en Sevilla jamón y vino en los comedores escolares para molestar a los musulmanes.</t>
  </si>
  <si>
    <t>https://twitter.com/_okdario/status/1064142351558483971</t>
  </si>
  <si>
    <t>https://pbs.twimg.com/media/DsSX1C7XcAA8EgY.jpg</t>
  </si>
  <si>
    <t>La Tierra, Vía Láctea</t>
  </si>
  <si>
    <t>📍Madriz [15 inviernos❄] ❤💛💜 L{G}BT🏳️‍🌈 ~Antifa'style🏴🚩~ 🏛h&amp;g🏛</t>
  </si>
  <si>
    <t>http://instagram.com/its.seergii</t>
  </si>
  <si>
    <t>Laura</t>
  </si>
  <si>
    <t>Los valores de España no se fundamentan en la fé cristiana, un país sin impuestos es un país pobre que nada puede ofrecer. Es mas @Santi_ABASCAL ¿de dónde pagaría su sueldo, el de la policía, médicos, bomberos, pensiones, etc? 🤦‍♀️🤦‍♀️</t>
  </si>
  <si>
    <t>https://pbs.twimg.com/media/DsTWrZ1XQAAavvn.jpg</t>
  </si>
  <si>
    <t>Para viajar lejos, no hay mejor nave que un libro</t>
  </si>
  <si>
    <t>:-(</t>
  </si>
  <si>
    <t>Si estuvisteis el sábado en el concierto de @laraizband y visteis a un tipo haciendo cánticos como: “Pablo Casado infravalorado” “Santi Abascal tampoco está tan mal” o “Bertín Osborne, lololo lolo lo, Bertín Osborne” que sepáis que todavía está de resaca.</t>
  </si>
  <si>
    <t>Más claro, agua. @pablocasado_ @Albert_Rivera @Santi_ABASCAL ¿DE MODO QUE HA ESTALLADO UN MOTÍN? ¡NO MAJESTAD! ¡LO QUE HA ESTALLADO ES UNA REVOLUCIÓN! General de División Rafael Dávila Álvarez (R.)  vía @GeneralDavila</t>
  </si>
  <si>
    <t>https://generaldavila.com/2018/11/17/de-modo-que-ha-estallado-un-motin-no-majestad-lo-que-ha-estallado-es-un-revolucion-general-de-division-rafael-davila-alvarez-r/</t>
  </si>
  <si>
    <t>Sexador de indies.</t>
  </si>
  <si>
    <t>https://twitter.com/carmentorrres/status/1063520663548436485</t>
  </si>
  <si>
    <t>https://pbs.twimg.com/media/DsJiZunXQAEIMPf.jpg</t>
  </si>
  <si>
    <t>Carlos García</t>
  </si>
  <si>
    <t>En solidaridad con todos los demócratas y gente de bien amenazados por los fascistas de la ultra izquierda totalitaria. @vox_es @vox_alcoi @mariam_fraggle @ivanedlm @Santi_ABASCAL @Igarrigavaz @RAFAGANDIA23 @GenteQueLucha @desamparadosb @clubdeviernes @VOX_VLC_Ciudad</t>
  </si>
  <si>
    <t>https://pbs.twimg.com/media/DsTQKhpWsAApsTD.jpg</t>
  </si>
  <si>
    <t>Valenciano y Español. Basado en el Cuestionarismo. No creas nada si no lo puedes comprobar. Lo mío son los datos. Me gusta corresponder con quien me sigue.</t>
  </si>
  <si>
    <t>JOSE GOSALBEZ PAYA</t>
  </si>
  <si>
    <t>Es inconcebible como se puede consentir en nuestro estado de derecho la presencia de partidos independentistas, que lo quieren romper. Es como si jugando al fútbol un jugador quiere jugar con las manos ¡NO PUEDE SER! @VOX_VALENCIA, @vox_es, @Santi_ABASCAL</t>
  </si>
  <si>
    <t>https://okdiario.com/espana/cataluna/2018/11/18/puigdemont-aplaude-idea-otegi-unir-separatistas-vascos-catalanes-gallegos-sola-lista-3363938</t>
  </si>
  <si>
    <t>ABOGADO. VICESECRETARIO JURÍDICO PROVINCIAL DE VOX VALENCIA</t>
  </si>
  <si>
    <t>Álvaro G</t>
  </si>
  <si>
    <t>“Sin piernas ni brazos, fascistas a pedazos” Esas son las lindezas de la izquierda que “defiende” la libertad de pensamiento y expresión. ¿Quienes son los verdaderos fascistas? @vox_es @Santi_ABASCAL @Ortega_Smith @monasterioR</t>
  </si>
  <si>
    <t>Real Madrid y Nada Más</t>
  </si>
  <si>
    <t>✅Soledad Ruiz, candidata de #VOX #Córdoba al Parlamento Andaluz, recuerda el acto que tendrá lugar este martes 20 de noviembre, en el Hotel Ayre Córdoba, con @Ortega_Smith, @Santi_ABASCAL @FSerranoCastro y @AlejandroHVCord ¡NO TE PUEDES PERDER EL ACTO DE #ANDALUCIAPORESPAÑA!</t>
  </si>
  <si>
    <t>pic.twitter.com/4x6JsiYdKE</t>
  </si>
  <si>
    <t>WILL</t>
  </si>
  <si>
    <t>Se ve que los que tienen miedo son ellos.Ya estamos con el rollito "asusta viejas". Las órdenes son claras: vamos a apelar a lo del voto útil a ver si así nos votan aunque seamos unos inútiles. Pues no pierdan el tiempo, ya no tenemos miedo; votaremos a @vox_es @Santi_ABASCAL</t>
  </si>
  <si>
    <t>https://pbs.twimg.com/media/DsTLP9HWkAA7ccn.jpg</t>
  </si>
  <si>
    <t>Nos pasamos la vida esperando un milagro sin darnos cuenta de que el milagro es la propia vida. Española y sevillana. Colaboro en La Gaceta @gaceta_es</t>
  </si>
  <si>
    <t>Aguilar</t>
  </si>
  <si>
    <t>Gracias a @Santi_ABASCAL por apoyar la #EquiparacionYa de las FCSE con las P. Autonómicas. MISMO TRABAJO MISMO SUELDO. No pararemos hasta conseguirlo¡¡ El día 2 elecciones en Andalucía y @vox_es sorprenderá a muchos 👏👏 @Ortega_Smith #21NBruselas @JupolNacional @jusapol</t>
  </si>
  <si>
    <t>https://pbs.twimg.com/media/DsTLGaPXoAADVZQ.jpg</t>
  </si>
  <si>
    <t>Me gusta mi trabajo pero NO mi sueldo</t>
  </si>
  <si>
    <t>Factoni</t>
  </si>
  <si>
    <t>Creo que hay un error en tu tweet compañero @Santi_ABASCAL La #EspañaNazi * RT @Santi_ABASCAL: VOX desborda el mitin de #Málaga con más de 3.500 asistentes. La #EspañaViva acelera su paso y se encamina a un triunfo electoral en #AndalucíaPorEspaña #VotaVOX</t>
  </si>
  <si>
    <t>https://twitter.com/santi_abascal/status/1063817852459847680</t>
  </si>
  <si>
    <t>pic.twitter.com/b3VGzjEklH</t>
  </si>
  <si>
    <t>1996 || Biólogo 🦉 || BCN</t>
  </si>
  <si>
    <t>David Parejo López 🇪🇸</t>
  </si>
  <si>
    <t>Tras varios años siendo afiliado del @PPopular (2013-2017) confieso que siento vergüenza de su trato con los votantes de @vox_es .Las personas que nos hemos ido del PP a VOX, es precisamente porque el PP no ha sabido representarnos como nos merecíamos.Confiamos en @Santi_ABASCAL</t>
  </si>
  <si>
    <t>Barcelona/España</t>
  </si>
  <si>
    <t>Español orgulloso. Estudiante de Administración y Dirección de Empresas en la UB. Liberal-Conservador.</t>
  </si>
  <si>
    <t>http://www.politicaytu.com</t>
  </si>
  <si>
    <t>Kumy Barcelona 🇪🇸</t>
  </si>
  <si>
    <t>Cuando #Vox y @Santi_ABASCAL entren en el Congreso, preguntaros el por qué... Lo que hay que leer... Que decepción... RT @CPU_Police: Desde esta CUENTA NO OFICIAL DE NINGÚN CUERPO POLICIAL, queremos "agradecer" (Ironía) a los militantes de @vox_es presentes en ese acto,el cómo "facilitaron" la labor policial, provocando con sus gestos y gritos a los manifestantes. Gracias por su "colaboración"🤮 #Vergüenza</t>
  </si>
  <si>
    <t>https://twitter.com/CPU_Police/status/1063857874697404416</t>
  </si>
  <si>
    <t>pic.twitter.com/FEd3fDPQjm</t>
  </si>
  <si>
    <t xml:space="preserve">Tayikistán </t>
  </si>
  <si>
    <t>Cataluña es mi tierra. España mi nación. Y como buen madridista, NUNCA me rindo. Con mi escudo o encima de él. Bloqueado por Puigdemont @krls y @pablo_iglesias_</t>
  </si>
  <si>
    <t>Jose Luis Garcia</t>
  </si>
  <si>
    <t>La #EspañaViva te espera el 1 de diciembre. Por la unidad de España y la impunidad de los golpistas! No faltes. @vox_es @voxnoticias_es @madrid_vox @monasterioR @Santi_ABASCAL @vox_alcobendas</t>
  </si>
  <si>
    <t>https://pbs.twimg.com/media/DsTAyb5WkAAe3kl.jpg</t>
  </si>
  <si>
    <t>Padre MUY orgulloso de mi hija, deportista, abogado, inconformista siempre. Por una España mejor.</t>
  </si>
  <si>
    <t>Santiago y Cierra España</t>
  </si>
  <si>
    <t>VOTO ÚTIL = VETO AL PP @Santi_ABASCAL @voxnoticias_es @vox_es @ValleToca @monasterioR @DoctoraStalin @ldpsincomplejos</t>
  </si>
  <si>
    <t>Miré los muros de la patria mía, si un tiempo fuerte y desmoronados de la carrera de la edad cansados por quien caduca ya su valentía.</t>
  </si>
  <si>
    <t>Caoba</t>
  </si>
  <si>
    <t>¿Quién combate contra esto? @sanchezcastejon @pablocasado_ @Albert_Rivera @Pablo_Iglesias_ @Santi_ABASCAL RT @juralde: 📽 Me llega este vídeo de una jornada de caza que se acaba convirtiendo en un auténtico desastre, con los perros y un venado cayéndose por un barranco... De verdad que no entiendo que se disfrute con esto... #LaVerdadDeLaCaza</t>
  </si>
  <si>
    <t>https://twitter.com/juralde/status/1063906201241640960</t>
  </si>
  <si>
    <t>pic.twitter.com/wPQVLTxNm8</t>
  </si>
  <si>
    <t>Naturalista. Sobre todo lector y oyente. Intento comunicar y opinar, siempre de manera constructiva.</t>
  </si>
  <si>
    <t>Se abre una investigación: cuánto costó realmente la casa de Galapagar?. @voxnoticias_es @vox_es @Santi_ABASCAL @ValleToca @enriquedediegov @HorcajoXavier</t>
  </si>
  <si>
    <t>Lucía Vila</t>
  </si>
  <si>
    <t>La manipulación de los medios @Santi_ABASCAL dijo: “El que quiera comer sólo lechuga que lo haga libremente. Y el que quiera comer jamón que lo pueda hacer”</t>
  </si>
  <si>
    <t>Eﾚ M⊕η†αrαz</t>
  </si>
  <si>
    <t>Siempre que veo a Santi Abascal hablando, me acuerdo de este personaje de El Cuento de la Criada. España no necesita líderes mesiánicos que solo conecten con minorías que quieren un partido 'a la carta', para echar al okupa de la Moncloaca es necesaria una mayoría amplia</t>
  </si>
  <si>
    <t>pic.twitter.com/EJKDZPZsRD</t>
  </si>
  <si>
    <t>Mordor</t>
  </si>
  <si>
    <t>DANDO LEÑA DESAYUNO, COMIDA Y CENA LOS 365DÍAS/24H. CONTRA TODOS LOS DOGMAS DE LA PROGRESÍA. MENOS ESTADO MÁS LIBERTAD.</t>
  </si>
  <si>
    <t>Alberto</t>
  </si>
  <si>
    <t>Votar a Vox es votar libertad y justicia. Es liberar al pueblo catalán de la dictadura del independentismo. Es hacer pagar caro a todo aquel que no respeta al que piensa distinto a él @vox_es @Santi_ABASCAL #AndalucíaPorEspaña #EspañaViva #VotaVOX</t>
  </si>
  <si>
    <t>https://www.esdiario.com/57810280/Dani-Mateo-la-emprende-ahora-con-Santiago-Abascal-y-Jorge-Javier-le-para-los-pie.html</t>
  </si>
  <si>
    <t>🇪🇸 1984 - ...</t>
  </si>
  <si>
    <t>No muy buenas noticias parecen venir desde Europa para España. En el artículo adjunto de desgrana. @vox_es @VOX_Valencia @Santi_ABASCAL @Ortega_Smith @pedro_fhz</t>
  </si>
  <si>
    <t>https://www.elblogsalmon.com/indicadores-y-estadisticas/bruselas-revisa-a-baja-previsiones-para-espana-todos-detalles</t>
  </si>
  <si>
    <t>EL NUEVO ÍDOLO DE TODAS LAS MUJERES ESPAÑOLAS...TE QUEREMOS Y TE VOTAREMOS @Santi_ABASCAL</t>
  </si>
  <si>
    <t>https://pbs.twimg.com/media/DsS0IpRWsAAUNez.jpg</t>
  </si>
  <si>
    <t>Santi Abascal en el Salón del Caballo en Sevilla. VOX</t>
  </si>
  <si>
    <t>https://www.instagram.com/p/BqXG_QZAsip/?utm_source=ig_share_sheet&amp;igshid=2e3wyxibl88f</t>
  </si>
  <si>
    <t>#AndalucíaPorEspaña Recordar de donde salio el #Fascista de @vox_es @Santi_ABASCAL @PPopular 👇 RT @VictorGonz54: Votar a Vox o lo que es lo mismo ... Votar a MANGANTES que no han TRABAJADO en su VIDA!, eso si, os llenarán la nevera de banderitas cada día ... que aproveche.</t>
  </si>
  <si>
    <t>https://twitter.com/VictorGonz54/status/1064165789505388545</t>
  </si>
  <si>
    <t>pic.twitter.com/zRgmG2Jw3l</t>
  </si>
  <si>
    <t>De Gonzalo</t>
  </si>
  <si>
    <t>"Solo los ricos pueden permitirse el lujo de no tener patria", Ramiro Ledesma Ramos. @Santi_ABASCAL, lávate la boca antes de citar a Ramiro.</t>
  </si>
  <si>
    <t>https://pbs.twimg.com/media/DsSw2UqWoAIq6bS.jpg</t>
  </si>
  <si>
    <t>Sierra de Andalucía Occidental</t>
  </si>
  <si>
    <t>Queremos menos palabrería liberal, y más respeto hacia la verdadera libertad del hombre.</t>
  </si>
  <si>
    <t>Juan de la Villa</t>
  </si>
  <si>
    <t>Oye @Santi_ABASCAL yo me sé de uno que también defendía que la patria española estaba para apoyar al español débil. Su padre fue un dictador, y él está enterrado junto a su asesino en el mausoleo español del fascismo. Escoria.</t>
  </si>
  <si>
    <t>Un poquito de to'. Sevilla</t>
  </si>
  <si>
    <t>https://pbs.twimg.com/media/DsSs-VaX4AA49sg.png</t>
  </si>
  <si>
    <t>17 ejemplos de votos tirados a la basura que a los inútiles del voto útil no les gustará que recordemos.</t>
  </si>
  <si>
    <t>http://www.outono.net/elentir/2018/11/19/17-ejemplos-de-votos-tirados-a-la-basura-que-al-pp-no-le-gustara-que-recordemos/</t>
  </si>
  <si>
    <t>Posiblemente todo siga igual, posiblemente lo d hoy haya sido un espejismo,posiblemente el diésel contamine y en el 2040 vayamos en cohetes espaciales, posiblemente @Santi_ABASCAL se haga torero pero al igual q ayer y al igual q mañana #YoCreoEnLosNovatos @JJuarezcrespo SEGUIMOS!</t>
  </si>
  <si>
    <t>TODOS A VOTAR A @Santi_ABASCAL PARA QUE LES DE PATADA! RT @David64300241: @lunadebenidorm Nos quieren islamizar a marchas forzadas, no lo conseguirán, por encima de mi cadáver.</t>
  </si>
  <si>
    <t>https://twitter.com/David64300241/status/1064164936497143813</t>
  </si>
  <si>
    <t>PROCURARÉ IR PRONTO PARA HACERME UNA FOTO CON EL HOMBRE MÁS ATRACTIVO FÍSICA Y POLÍTICAMENTE DE ESPAÑA @Santi_ABASCAL RT @Inmmmmagine: @lunadebenidorm @Santi_ABASCAL Los mítines de Vox están abarrotados. Como no tengas algún contacto que te abra paso para llegar hasta él y pedirle la foto. Ya tienes un reto: saludar al guapo. 💪✌️😀</t>
  </si>
  <si>
    <t>https://twitter.com/Inmmmmagine/status/1064160247160410112</t>
  </si>
  <si>
    <t>McMardigan</t>
  </si>
  <si>
    <t>Señor @Santi_ABASCAL No milito en ningún partido, ni formo parte de ningún grupo, ya sea de opinión o que pretenda calumniar o cosa semejante Soy un ciudadano español de a pie Normal y corriente Lo prometo</t>
  </si>
  <si>
    <t>✝️🇪🇸Español. No al Islam/Marxismo cultural. Lo impregna todo, como la peste. Migrar es un privilegio, no un derecho. 🇺🇦☦️🇷🇺Sí. Me gusta el Borsch</t>
  </si>
  <si>
    <t>Alberto Sanz Blanco</t>
  </si>
  <si>
    <t>El @PPopular de @pablocasado_ "Votar a @vox_es (@Santi_ABASCAL) es tirar el voto a la basura"  vía @libertaddigital</t>
  </si>
  <si>
    <t>http://dlvr.it/QrWnQN</t>
  </si>
  <si>
    <t>Sergio in London</t>
  </si>
  <si>
    <t>Tengo menos ganas de trabajar que Santi Abascal.</t>
  </si>
  <si>
    <t>Periodista y analista político. Crítico artístico en @canalhablamos. Informado @telediario_tve opinado @abc_es Antes @Inforadio_UCM Sígueme y sabrás qué pienso</t>
  </si>
  <si>
    <t>http://albertosanzblanco.wordpress.com</t>
  </si>
  <si>
    <t>Sergio Recuero's twitter account.</t>
  </si>
  <si>
    <t>ElviejoWerther</t>
  </si>
  <si>
    <t>Estoy más cerca ideológicamente de la izquierda que de la derecha. Pero hay que respetar todo lo que sea merecedor de respeto: en este caso lo es el mitin de @Santi_ABASCAL y no los barbaros violentos que los amenazan. Y sobre @sextaNoticias saquen ustedes sus conclusiones... RT @Santi_ABASCAL: HILO VA: Os vamos a mostrar con 2 vídeos un ejemplo práctico de manipulación de @laSextaTV @sextaNoticias que se ha producido ahora mismo. Aquí el vídeo cortado y manipulado suciamente por La Secta:</t>
  </si>
  <si>
    <t>https://twitter.com/santi_abascal/status/1063066152648228866</t>
  </si>
  <si>
    <t>pic.twitter.com/1hKMHlGbpI</t>
  </si>
  <si>
    <t>Ayer empecé a seguir a Santi Abascal. Al primer tuit que hizo, lo critiqué. Acto seguido me bloquea. Y yo me pregunto, un patriota como él, un soldado de la Patria, un español que se viste por los pies, ¿no es capaz de aguantar una sola crítica? Tan valiente no será, digo yo...</t>
  </si>
  <si>
    <t>Alberto Jimenez Mart</t>
  </si>
  <si>
    <t>Por qué no le recuerdan a los españoles, todas las atrocidades de los republicanos (@PSOE @Esquerra_ERC @iunida @ahorapodemos) antes del 39 del siglo pasado?, para que sepan lo que verdaderamente es peligroso para España. @Santi_ABASCAL @alejandroTGN @vox_es @Miotroyo2parte</t>
  </si>
  <si>
    <t>En busca de la verdad para darla a conocer.</t>
  </si>
  <si>
    <t>carthago</t>
  </si>
  <si>
    <t>Un perro inteligente @Santi_ABASCAL @CristinaSegui_ @voxnoticias_es</t>
  </si>
  <si>
    <t>pic.twitter.com/iE4NYziMpZ</t>
  </si>
  <si>
    <t>Español y orgulloso de serlo</t>
  </si>
  <si>
    <t>Es para las 3 comidas al dìa de las que habla @ierrejon @eduardoinda @pacomarhuenda @Santi_ABASCAL @vox_es @voxnoticias_es @CasoAislado_Es @rubnpulido @beatrizbecerrab @Albert_Rivera @dlacalle RT @TorresAren: #LaVozImbatible HAMBRUNA O RATERISMO? Es fácil criticar esta acción del pueblo de VENEZUELA PERO estos ciudadanos se ven obligados a esto,con el sueldo SOCIALISTA no alcanzas a comprar una gallina En CAPITALISMO esto no pasaba #18Nov #19Nov #FelizDomingo</t>
  </si>
  <si>
    <t>https://twitter.com/TorresAren/status/1063967336636604416</t>
  </si>
  <si>
    <t>pic.twitter.com/6NPDwNAdPX</t>
  </si>
  <si>
    <t>Starscream</t>
  </si>
  <si>
    <t>Tengo que darle las gracias a @vox_es y a @Santi_ABASCAL, porque gracias a sus ideales, me han convencido para votar por primera vez en unas elecciones... en su contra.</t>
  </si>
  <si>
    <t>podré ser malo al lol pero es que al overwatch soy mucho peor 😎</t>
  </si>
  <si>
    <t>MARBELLA ANTES DE FRANCO Y DESPUÉS DE FRANCO Y @sanchezcastejon QUIERE PROFANARLO...ANDALUCES POR FAVOR...SI QUERÉIS SER GRANDES DE NUEVO...TODOS JUNTOS Y UNIDOS A VOTAR @Santi_ABASCAL Y @vox_malaga</t>
  </si>
  <si>
    <t>Aro, aro</t>
  </si>
  <si>
    <t>En Valencia dicen que están en alerta roja? Entonces cómo estamos en Andalucía, que Santi Abascal va a empezar la reconquista aquí?</t>
  </si>
  <si>
    <t>https://pbs.twimg.com/media/DsSW39XX4AEqV8q.jpg</t>
  </si>
  <si>
    <t>De lo que leas, la mitad creas. No me tomes en serio. Sandokán es mi héroe. Qué dimitir ni dimitir? Dimite tú. Rebelde y branca.</t>
  </si>
  <si>
    <t>¡Ostras, ahora es un gurú! ¡¿Pero tú qué sabras lo que es la “paz interior”, pedazo de retrasado mental?! Eres un gil que comenzó el proceso que ahora hace metástasis entre los españoles. ¡Piérdete, pedazo de tocino! @Santi_ABASCAL @vox_es @monasterioR @carloscuestaEM RT @okdiario: Zapatero afirma que la memoria histórica es “democracia, dignidad y paz interior” 🔴</t>
  </si>
  <si>
    <t>https://twitter.com/okdiario/status/1064089285480075264
https://okdiario.com/espana/2018/11/18/zapatero-afirma-que-memoria-historica-democracia-dignidad-paz-interior-3363510?utm_campaign=ok&amp;utm_medium=Social&amp;utm_source=Twitter#Echobox=1542508386</t>
  </si>
  <si>
    <t>Carrot Carrillo</t>
  </si>
  <si>
    <t>Qué va, Sole @Santi_ABASCAL</t>
  </si>
  <si>
    <t>Estudiante de animación. Dibujo cosas.</t>
  </si>
  <si>
    <t>EL Marqués del Fraude. Ni vergüenza, ni honor. #Escandalo #TraidorPsoe #TraidorSanchez @PSOE #PSOE @sanchezcastejon @desdelamoncloa @PPopular @vox_es @CiudadanosCs @Santi_ABASCAL #Templarios #EspanaViva #MasAndalucia #AndaluciaPorEspaña RT @abc_es: Sánchez constata su fragilidad y ya renuncia a los Presupuestos</t>
  </si>
  <si>
    <t>Malaga</t>
  </si>
  <si>
    <t>https://twitter.com/abc_es/status/1064094616121692160
http://ver.abc.es/umizb2</t>
  </si>
  <si>
    <t>https://twitter.com/Santi_ABASCAL/status/1063817852459847680</t>
  </si>
  <si>
    <t>BENIDORM ANTES Y DESPUÉS DE FRANCO...LO QUE MENOS SE PODÍAN IMAGINAR LOS VOTANTES DE @sanchezcastejon DE BENIDORM ES QUE QUISIERA PROFANAR A FRANCO...A PARTIR DE AHORA NINGÚN BEBIDORMENSE A VOTARLE...TODOS EN MASA Y UNIDOS A VOTAR @Santi_ABASCAL Y @vox_benidorm</t>
  </si>
  <si>
    <t>https://pbs.twimg.com/media/DsSR23RWsAI4fZa.jpg</t>
  </si>
  <si>
    <t>Mañana viene @Santi_ABASCAL a Chiclana, este pueblo aguantó 2 años y medio a las tropas napoleónicas,lo digo por si aparecen cuatro mierdas, que sepan que somos gentes con huevos y ovarios....ojito!!!</t>
  </si>
  <si>
    <t>POR FAVOR QUE NADIE VOTE A ESTOS ESPERPENTOS...TODO EL MUNDO A VOTAR AL GRAN @Santi_ABASCAL</t>
  </si>
  <si>
    <t>https://pbs.twimg.com/media/DsSM01cWkAASQKt.jpg</t>
  </si>
  <si>
    <t>marcos gomez gallego</t>
  </si>
  <si>
    <t>Santi Abascal estalla y emite un demoledor vídeo contra Ferreras y la manipulación de laSexta</t>
  </si>
  <si>
    <t>https://www.periodistadigital.com/periodismo/tv/2018/11/15/abascal-estalla-y-emite-un-demoledor-video-contra-ferreras-y-la-manipulacion-de-lasexta.shtml</t>
  </si>
  <si>
    <t>SEÑORES. BENIDORM ANTES DE FRANCO Y DESPUÉS DE FRANCO.. TODOS UNIDOS EN MASA A VOTAR A @Santi_ABASCAL Y @vox_es ...YO VOTARÉ @vox_benidorm</t>
  </si>
  <si>
    <t>Oviedo</t>
  </si>
  <si>
    <t>Jubilado accidente laboral Afiliado del PP</t>
  </si>
  <si>
    <t>https://pbs.twimg.com/media/DsSLUTdWoAEs7Uc.jpg</t>
  </si>
  <si>
    <t>SEÑORES.ESTE ERA BENIDORM ANTES DE FRANCO. CON FRANCO HA SIDO LO QUE ES AHORA UNA MARAVILLOSA URBE RIQUÍSIMA CON MILLONES DE TURISTAS EXTRANGEROS..CADA DÍA TODO EL AÑO...Y @sanchezcastejon QUIERE PROFANARLO...DEMENCIAL!!!! TODOS EN MASA UNIDOS A VOTAR A @Santi_ABASCAL Y @vox_es</t>
  </si>
  <si>
    <t>https://pbs.twimg.com/media/DsSKYAbWkAYdVoJ.jpg</t>
  </si>
  <si>
    <t>Ernesto Bartlett ن 🐗</t>
  </si>
  <si>
    <t>Espero que @vox_es se posicione ante la problemática que padecen los funcionarios de prisiones. #PrisionesEnLucha @Santi_ABASCAL</t>
  </si>
  <si>
    <t>#IgnacioEcheverria</t>
  </si>
  <si>
    <t>Català de l Empordà i espanyol de tot cor. Excomulgat per heretgia intel.lectual. Expatriat de l Empordà.</t>
  </si>
  <si>
    <t>ESTE ES BENIDIRM ANTES DEL GOBIERNO DE FRANCO...TODOS A VOTAR ULTRADERECHA...TODOS A VITAR A NUESTRO NUEVO CAUDILLO @Santi_ABASCAL VIVA @vox_es</t>
  </si>
  <si>
    <t>https://pbs.twimg.com/media/DsSI0ulWsAYE3J3.jpg</t>
  </si>
  <si>
    <t>Ocurrente, muy ocurrente..... 🤣 #Escandalo @PoderJudicialEs #TraidorPsoe #Templarios @PSOE #PSOE @PPopular @vox_es @CiudadanosCs @sanchezcastejon @desdelamoncloa @Santi_ABASCAL @astro_duque @LolaDelgadoG @CelaaIsabel RT @ppmadrid: ▶️ @pablocasado_: “El gobierno de Pedro Sánchez es como el aloe vera. Cuanto más le investigas, más propiedades tiene”.</t>
  </si>
  <si>
    <t>https://twitter.com/ppmadrid/status/1064123397104386048</t>
  </si>
  <si>
    <t>pic.twitter.com/kcPBAabpkc</t>
  </si>
  <si>
    <t>Esoj Sabir</t>
  </si>
  <si>
    <t>Elecciones YA. Si el gobierno no sabe o no quiere defender España, que dimita. @CasaReal @sanchezcastejon @JosepBorrellF @Albert_Rivera @pablocasado_ @Santi_ABASCAL</t>
  </si>
  <si>
    <t>https://www.elconfidencial.com/espana/2018-11-18/embajadas-catalanas-diplocat-auge-proces-borrell_1651462/?utm_source=whatsapp&amp;utm_medium=social&amp;utm_campaign=amp</t>
  </si>
  <si>
    <t>La paciencia tambien se acaba</t>
  </si>
  <si>
    <t>No habeis desalojado en 40 años al @PSOE cuanto menos ahora @antonioperal, es IMPORTANTE que se sepa. Queda claro que el voto INUTIL es el @PPopular y el útil el de @vox_es. #AndaluciaPorEspaña 🇪🇸✌🏻 @Santi_ABASCAL @monasterioR @Ortega_Smith @FSerranoCastro @ivanedlm @voxjovenes RT @antonioperal: La encuesta GAD3 que publica ABC, deja una importante reflexión dirigida a los que dicen que votarán a VOX: el 3,6% (entre 0-1) podría quitar al PP hasta 8 escaños y por tanto, la posibilidad de desalojar al PSOE de la Junta. Es importante que se sepa lo que representa cada voto.</t>
  </si>
  <si>
    <t>https://twitter.com/antonioperal/status/1064103915057283072</t>
  </si>
  <si>
    <t>https://pbs.twimg.com/media/DsR03ejWwAA3HDO.jpg</t>
  </si>
  <si>
    <t>Rubén Sánchez</t>
  </si>
  <si>
    <t>En ocasiones veo fraudes.</t>
  </si>
  <si>
    <t>http://rubensanchez.tw</t>
  </si>
  <si>
    <t>Manu el Canarias</t>
  </si>
  <si>
    <t>Estas son las verdaderas palabras de @Santi_ABASCAL no las mentiras que las televisiones de la secta izquierdista mentirosa y manipuladora, defensores de los violentos, comunistas, etarras, muestran y difunden para seguir engañando y atemorizando a la población Española</t>
  </si>
  <si>
    <t>pic.twitter.com/12Ff5I0yGh</t>
  </si>
  <si>
    <t>Santi Abascal en Gibraltar.</t>
  </si>
  <si>
    <t>https://www.instagram.com/p/BqVmp0VAtGw/?utm_source=ig_share_sheet&amp;igshid=ke6oske42pgq</t>
  </si>
  <si>
    <t xml:space="preserve">Isla de Gran Canaria, ESPAÑA </t>
  </si>
  <si>
    <t>emprendiendo de siempre, como buén Patriota Español, Católico.</t>
  </si>
  <si>
    <t>http://www.procreart.net</t>
  </si>
  <si>
    <t>TE EQUIVOCAS ARGENTINO...LA ULTRADERECHA DE @vox_es TODOS A VOTAR @Santi_ABASCAL</t>
  </si>
  <si>
    <t>https://pbs.twimg.com/media/DsR5_BgXoAAyzeX.jpg</t>
  </si>
  <si>
    <t>🇪🇸🗡Máximo Décimo Meridio🗡🇪🇸</t>
  </si>
  <si>
    <t>El voto de la mujer es muy importante @Santi_ABASCAL tienes que darle mucha más importancia, que ellas hablen y se vean en toda España</t>
  </si>
  <si>
    <t>🇪🇸VOX🇪🇸</t>
  </si>
  <si>
    <t>🗡Mi nombre es Máximo Décimo Meridio, comandante de los ejércitos del Norte, general de las legiones medias, fiel servidor del verdadero emperador el RealMadrid</t>
  </si>
  <si>
    <t>Pepo M. ////////////</t>
  </si>
  <si>
    <t>Que algunos de nuestros abuelos murieran en sus manos, que algunos otros fueran prisioneros torturados y que estemos a 2018 y todavía tengamos que soportar a indeseables como @pablocasado_ o @Santi_ABASCAL tratando a esta gente con condescendencia, hace que mi país sea peor. RT @elisabeni: Anoche junto al arco de Moncloa...así estamos</t>
  </si>
  <si>
    <t>https://twitter.com/elisabeni/status/1063874605226631169</t>
  </si>
  <si>
    <t>pic.twitter.com/IvDv1lycfH</t>
  </si>
  <si>
    <t>Somos un equipo, pero vamos perdiendo</t>
  </si>
  <si>
    <t>http://www.thesecretsociety.es</t>
  </si>
  <si>
    <t>DonPablo</t>
  </si>
  <si>
    <t>Hola @pablocasado_ @Albert_Rivera @Santi_ABASCAL Para cuando una manifestación por la unidad de España y por la convocatoria de elecciones? Están gobernando los golpistas y MILLONES de españoles queremos salir a votar Dejaros de estrategias y a defender España</t>
  </si>
  <si>
    <t>Andrea</t>
  </si>
  <si>
    <t>Hay que ser muy valiente para subirse a un escenario y defender unos valores como los de @vox_es en tiempos de izquierda violenta @Santi_ABASCAL @Ortega_Smith #VOXÚtil #EspañaViva #VOXAvanza</t>
  </si>
  <si>
    <t>Galicia, España</t>
  </si>
  <si>
    <t>Psicóloga 🧠</t>
  </si>
  <si>
    <t>Alfilo de la Brecha</t>
  </si>
  <si>
    <t>Santi Abascal tiene muchas banderas de España pero también el aguilucho.</t>
  </si>
  <si>
    <t>https://pbs.twimg.com/media/DsU9HcFW0AE1nSK.jpg</t>
  </si>
  <si>
    <t>La ciudad mas bonita del mundo</t>
  </si>
  <si>
    <t>Antropólogo, animador sociocultural y croupier. También soy de izquierdas, activista antifascista, humorista amateur y amo los pingüinos. Miro los MD de reojo</t>
  </si>
  <si>
    <t>https://www.youtube.com/c/alfilodelabrecha</t>
  </si>
  <si>
    <t>SOY FAN DE @Santi_ABASCAL COMO MUCHAS MUJERES PORQUE ES UN HOMBRE MUY ATRACTIVO...ES MI IDOLO!</t>
  </si>
  <si>
    <t>https://pbs.twimg.com/media/DsRx-92X4AAniqg.jpg</t>
  </si>
  <si>
    <t>George Bailey 🇪🇸</t>
  </si>
  <si>
    <t>Parece que hay mucho miedo a @vox_es Indecente este artículo del director de @lavozdealmeria llamando a @Santi_ABASCAL neofranquista, neofalangista y mintiendo con desvergüenza (afirma que quiere meter en la cárcel a 2000 catalanes, por ejemplo). #Fakenews RT @lavozdealmeria: Pedro Manuel de la Cruz, director de LA VOZ, señala que "ninguno espera que VOX saque un parlamentario en la provincia andaluza donde el PP obtiene sus mejores resultados".</t>
  </si>
  <si>
    <t>https://twitter.com/lavozdealmeria/status/1064096223576145921
http://mtr.cool/oozfoid</t>
  </si>
  <si>
    <t>Bedford Falls</t>
  </si>
  <si>
    <t>Moisés Laparra</t>
  </si>
  <si>
    <t>Pretenden seguir en el mismo carro porque les va bien, no lo podemos permitir y ahora con @vox_es y @Santi_ABASCAL los apearemos de sus bochornosos tronos. RT @Santi_ABASCAL: Si ser antisistema es oponerse a ese sistema en el que os repartís los papeles desde hace 40 años según en el cual unos son los señoritos de la Junta y otros sois los señoritos de la oposición perpetua e inútil....pues seremos orgullosamente antisistema. #AndalucíaPorEspaña #VOX</t>
  </si>
  <si>
    <t>https://twitter.com/santi_abascal/status/1063748316305985542
https://twitter.com/COPE/status/1063737360762974213</t>
  </si>
  <si>
    <t>El Scouting Bético</t>
  </si>
  <si>
    <t>Sin posicionarme políticamente a día de hoy lo que me parece @vox_es,descrito en una sola imagen,con su líder político @Santi_ABASCAL a la cabeza</t>
  </si>
  <si>
    <t>https://pbs.twimg.com/media/DsRtMuTW0AA4BvK.jpg</t>
  </si>
  <si>
    <t>Apasionado del fútbol y del Real Betis, Premier ,Calcio,Ligue1 y Bundesliga, Exredactor del BVB en @bollsports</t>
  </si>
  <si>
    <t>ATENHEA.</t>
  </si>
  <si>
    <t>UN CARGO DEL @PPopular PRESIDE LA SECCION JUVENIL DE LA FUNDACIÓN DE @Santi_ABASCAL CUANDO DIGAN QUE SON LO MISMO QUE SE ATREVAN A DECIR QUE NO</t>
  </si>
  <si>
    <t>BIENVENID@S A LA REPÚBLICA INDEPENDIENTE DE MI TWITTER. NACI BAJO LOS COJONES DE PELAYU EN LA ISLA DE LA GIGIA UN 12 /04/66</t>
  </si>
  <si>
    <t>manuelrv</t>
  </si>
  <si>
    <t>Podemos es el telecinco de la política...¡¡ poco le queda al circo. @vox_es @Santi_ABASCAL @Ortega_Smith</t>
  </si>
  <si>
    <t>pic.twitter.com/in00rSJnZQ</t>
  </si>
  <si>
    <t>@vox_es</t>
  </si>
  <si>
    <t>Miguel Ángel Chiquil</t>
  </si>
  <si>
    <t>El Himno Nacional tocado ayer por una joven y bella afiliada en la clausura de la Jornada de  de Vox Madrid a la que tuve el orgullo de asistir @Santi_ABASCAL @vox_es @Igarrigavaz @ldpsincomplejos @Alternativa_VOX</t>
  </si>
  <si>
    <t>http://RR.SS</t>
  </si>
  <si>
    <t>pic.twitter.com/HkvjBBXboZ</t>
  </si>
  <si>
    <t>BARCELONA, CATALUÑA, ESPAÑA</t>
  </si>
  <si>
    <t>En lucha contra el Relativismo moral y político que todo lo asfixia en esta nuestra España actual. En defensa de los Valores Trascendentes de la persona.</t>
  </si>
  <si>
    <t>Mañana la #EspañaViva de VOX en Chiclana. #Cadiz #Chiclana #AndalucíaporEspaña</t>
  </si>
  <si>
    <t>El cuñado facha</t>
  </si>
  <si>
    <t>ULTIMA HORA: @Santi_ABASCAL deja la política para poder dedicarse por completo a su carrera como instagramer.</t>
  </si>
  <si>
    <t>https://pbs.twimg.com/media/DsUr796XoAEDepn.jpg</t>
  </si>
  <si>
    <t>Aquí me desahogo. A veces voy en serio, a veces voy de coña. Ni yo sé muy bien cuándo.</t>
  </si>
  <si>
    <t>Juan Fernandez</t>
  </si>
  <si>
    <t>La incultura de @Santi_ABASCAL y @pablocasado_ está por encima de que se consiga más justicia e igualdad social #Quepenaquerobeneldinerogenteinculta</t>
  </si>
  <si>
    <t xml:space="preserve">Cehegín (Murcia) España </t>
  </si>
  <si>
    <t>Intentado buscar la felicidad, perdiendo a momentos la ilusión, pero siempre y ante todo viviendo sin interntar hacer daño.</t>
  </si>
  <si>
    <t>https://m.facebook.com/?_rdr</t>
  </si>
  <si>
    <t>Paco Pepe</t>
  </si>
  <si>
    <t>El majarón del día, comparando a @Santi_ABASCAL con Hitler. Por gilipollas intolerantes como éste, al final decantaré mi voto por @vox_es RT @Dzhugashvili75: Cada vez más asustado con la de gente q considero"normal" planteándose votar a VOX. Esto está muy estudiado,se coge a un grupo social y se le achacan todos los males del país(pon judíos, inmigrantes,banqueros) y consigues con tu populismo q te sigan. Ora Hitler, ora Abascal.</t>
  </si>
  <si>
    <t>https://twitter.com/Dzhugashvili75/status/1063028963231129601</t>
  </si>
  <si>
    <t>La muerte no es triste, lo triste es que la gente no sepa vivir. Pablo Ráez #DonaMédula. Boquerón.</t>
  </si>
  <si>
    <t>Los 20 tuits más RTs de @pablo_iglesias_ @rosadiezglez @krls @albanodante76 @santi_abascal @joninarritu @irene_montero_ @nanchinho @miriamnoguerasm @gabrielrufian @gallifantes @joseprull @lluis_llach @albert_rivera el sábado 17 de noviembre</t>
  </si>
  <si>
    <t>https://twitter.com/trendinaliaES/timelines/1064037742886060032</t>
  </si>
  <si>
    <t>Diego</t>
  </si>
  <si>
    <t>por cada fav me cago en los muertos de santi abascal una vez</t>
  </si>
  <si>
    <t>Otro facha</t>
  </si>
  <si>
    <t>El 1D estamos convocados en Colón, en Madrid, a las 11:30. Según este comunicado fue el señor Opazo el primero en hacerlo. Después lo hizo @vox_es . Misma hora, mismo lugar, sin mencionar a Opazo, espero que por desconocimiento. Ruego a @Santi_ABASCAL una aclaración.</t>
  </si>
  <si>
    <t>A Coruña, Galicia</t>
  </si>
  <si>
    <t>20. un dia destes matome pero sempre de jajas.</t>
  </si>
  <si>
    <t>https://www.instagram.com/diegodnk21/</t>
  </si>
  <si>
    <t>https://pbs.twimg.com/media/DsQs-dxWoAAPgq6.jpg</t>
  </si>
  <si>
    <t>ESPAÑOL 🇪🇸 MADRIDISTA 🏆 Mourinho-zidanista; los principios de Mou, los métodos de Zizou.</t>
  </si>
  <si>
    <t>http://www.tabarnia.es</t>
  </si>
  <si>
    <t>José Baena</t>
  </si>
  <si>
    <t>En el telediario no lo van a poner .....pero la cara de Susana Díaz lo dice todo ........¡el día 2 es posible empezar a cambiar esto ! El cambio sólo lo puede hacer @Santi_ABASCAL y @vox_es</t>
  </si>
  <si>
    <t>pic.twitter.com/nzwPLJszNm</t>
  </si>
  <si>
    <t>Latinoamericanos con Vox</t>
  </si>
  <si>
    <t>Con muchísimas más diferencias @Santi_ABASCAL no te llega ni a la suela ese coleta mal oliente. RT @Santi_ABASCAL: Con la diferencia, como mínimo, de que yo soy seré leal a España 😉</t>
  </si>
  <si>
    <t>https://twitter.com/Santi_ABASCAL/status/1063536939247300608
https://twitter.com/carmentorrres/status/1063520663548436485</t>
  </si>
  <si>
    <t>Como en España no se vive en ningún sitio, te lo dice un "ciudadano del mundo" Pensamiento crítico para no dejarte embaucar por necios que cuentan milongas.</t>
  </si>
  <si>
    <t>📰 En @horasurdigital 👉🏻 @Santi_ABASCAL estará mañana recorriendo las calles de Los Barrios y La Línea ✅ Es necesario un Plan de Industralización y Reactivación económica en el campo de Gibraltar, tan castigado por el narcotráfico #AndalucíaPorEspaña</t>
  </si>
  <si>
    <t>https://www.horasur.com/articulo/campo-de-gibraltar/santiago-abascal-lider-vox-estara-domingo-barrios/20181116231707037257.html</t>
  </si>
  <si>
    <t>Manuel Rivas</t>
  </si>
  <si>
    <t>Viva @vox_es @Santi_ABASCAL</t>
  </si>
  <si>
    <t>https://pbs.twimg.com/media/DsPqGE0WsAISGI2.jpg</t>
  </si>
  <si>
    <t>Villanueva del Arzobispo, España</t>
  </si>
  <si>
    <t>ADELANTE ANDALUCES, ADELANTE ESPAÑOLES AL CUADRADO, ANDALUCIA POR ESPAÑA @ruben_olmeda @monasterioR @pablocasado_ @ierrejon @laSextaTV @Santi_ABASCAL @Juan_A_Morales @vox_malaga @VOXSevilla @VOX_CADIZ @VoxCordoba #AndaluciaPorEspaña #VOXGanaAndalucia #VOXUtil RT @VOXSevilla: Mesa informativa en Coria del Río #AndalucíaPorEspaña #EspañaViva #VotaVOX @vox_coria</t>
  </si>
  <si>
    <t>https://twitter.com/VOXSevilla/status/1063784743228112896</t>
  </si>
  <si>
    <t>https://pbs.twimg.com/media/DsNSkakW0AA2D4-.jpg</t>
  </si>
  <si>
    <t>Como diría @Santi_ABASCAL en su mitin de málaga y citando al Quijote, no solo nos votaría sino que después de como nos trata la prensa y el resto de partidos ... “Ladran Sancho, señal de que cabalgamos” @vox_es @VoxCordoba @VOX_Jaen @Ortega_Smith</t>
  </si>
  <si>
    <t>Carlos Zayas</t>
  </si>
  <si>
    <t>¿Ha pedido @ierrejon perdón a la comunidad musulmana por este claro ejemplo de "islamofobia"?... 😂 De ser @hermanntertsch @Santi_ABASCAL @carlosherreracr o @pablocasado_ ya #TwitterRoja les habría suspendido la cuenta por "incitación al odio"...</t>
  </si>
  <si>
    <t>https://pbs.twimg.com/media/DsPeZywX4AAQhw1.jpg</t>
  </si>
  <si>
    <t>Entre Sevilla y Caracas. Por ahí.</t>
  </si>
  <si>
    <t>Apasionado de la libertad ergo antagonista irreconciliable del Socialismo Internacional. Las Guarimbas son las calles, son Venezuela.</t>
  </si>
  <si>
    <t>LA ESPAÑA VIVA DE PODEMOS AHORA VOTARÁ A VOX. Ahora si Se Puede. Adelante españoles al cuadrado. Andalucía por España @pablocasado_ @Santi_ABASCAL @VOXSevilla @vox_malaga @VoxCordoba @VOX_Jaen @iErrefon @Pablo_Iglesias_ #AndaluciaPorEspaña #VOXGanaAndalucia #VOXÚtil RT @vox_es: 📢🇪🇸 VOX consigue un nuevo éxito de convocatoria en su primer mitín de campaña en Málaga desbordando una plaza con capacidad para 3.500 personas. 📰 Nota de prensa |  ✅ Vota VOX, vota #AndalucíaPorEspaña</t>
  </si>
  <si>
    <t>https://twitter.com/vox_es/status/1063826166941929472
https://www.voxespana.es/vox-llena-la-plaza-de-la-marina-de-malaga-en-su-primer-acto-de-campana-en-la-provincia</t>
  </si>
  <si>
    <t>https://pbs.twimg.com/media/DsN2gNRXcAUO57Z.jpg</t>
  </si>
  <si>
    <t>Jornada intensa visitando La Línea de La Concepción y Los Barrios en #Cadiz para conocer los problemas de desempleo, acoso a pescadores españoles, narcotráfico, contrabando y desinduatrialización provocados en el Campo de Gibraltar por la colonia convertida en paraíso fiscal.</t>
  </si>
  <si>
    <t>Cristina Vieco Muñoz</t>
  </si>
  <si>
    <t>Hay que ser imbécil @Santi_ABASCAL RT @laSextaTV: VÍDEO | Vox defiende "comer jamón en los colegios" aunque "moleste a los islamistas"</t>
  </si>
  <si>
    <t>Migraciones; Psicología</t>
  </si>
  <si>
    <t>Noticias&amp;Polémicas</t>
  </si>
  <si>
    <t>Santi Abascal y lo que le paso en un mitin con gente de Podemos:  via @YouTube</t>
  </si>
  <si>
    <t>http://youtu.be/rlqmncZinPQ?a</t>
  </si>
  <si>
    <t>Éxito rotundo de @vox_es en el día de hoy en #Málaga‼️ #EspañaViva #EleccionesAndaluzas @Santi_ABASCAL @voxjovenes 👏🏻👏🏻👏🏻</t>
  </si>
  <si>
    <t>pic.twitter.com/GRhNjGjJB4</t>
  </si>
  <si>
    <t>Salva Villegas</t>
  </si>
  <si>
    <t>Interesantísimo artículo de @JamesNavaCom diciendo verdades como puños. Muy recomendable su lectura para quitar prejuicios y complejos absurdos. @Santi_ABASCAL @ivanedlm @Ortega_Smith @luisesel RT @JamesNavaCom: America First de Trump es un nacionalismo orgulloso, sin vergüenza por el pasado y por lo que es y representa esta nación, sin disculpas, sin mostrarse ofendido, con esa pizca de entusiasmo nacional y optimismo:</t>
  </si>
  <si>
    <t>https://twitter.com/JamesNavaCom/status/1063776747877994496
https://bit.ly/2Qz21SQ</t>
  </si>
  <si>
    <t>https://pbs.twimg.com/media/DsNLM7_X4AAtFUq.jpg</t>
  </si>
  <si>
    <t>Cartagena - SPAIN</t>
  </si>
  <si>
    <t>Historia - Arqueología - Amo a Mí País, España. Amo a Mí Carthago - ¡Carpe Diem!</t>
  </si>
  <si>
    <t>¿Ha condenado ya el ultraderechista @Santi_ABASCAL este ataque de la ultraderecha? 🤔 RT @EqInvestigacion: “Televisión, manipulación”, “rojos, hijos de puta”, “no engañéis al pueblo”, “mentirosa, cínica”... Esto es sólo un ejemplo de lo que tienen que aguantar @gloria_serra y nuestro equipo grabando en las calles “Los Papeles Secretos de Franco” Martes 20N || 22.30h || @laSextaTV</t>
  </si>
  <si>
    <t>https://twitter.com/EqInvestigacion/status/1063863228520902658</t>
  </si>
  <si>
    <t>pic.twitter.com/9eO3qkD7Bl</t>
  </si>
  <si>
    <t>Eduardo @eduardoinda, mira @_InakiLopez_ me ha bloqueado por pedirle que en pro de la información y del verdadero periodismo, de voz a @vox_es @Santi_ABASCAL pero como buen lacayo de @SextaNocheTV y @ahorapodemos obedece al AMO en vez de luchar por la LIBERTAD</t>
  </si>
  <si>
    <t>https://pbs.twimg.com/media/DsPWi36XcAAfsix.jpg</t>
  </si>
  <si>
    <t>Mas claro el agua, VOX Santi Abascal y la inmigracion:  via @YouTube</t>
  </si>
  <si>
    <t>http://youtu.be/GBDl0_cfm34?a</t>
  </si>
  <si>
    <t>Álvaro Pinazo Robles</t>
  </si>
  <si>
    <t>Día inolvidable haciendo historia con la España viva🇪🇸🇪🇸🇪🇸 @vox_es @Santi_ABASCAL @Ortega_Smith @voxjovenes</t>
  </si>
  <si>
    <t>https://pbs.twimg.com/media/DsPU9rAWwAA-wwz.jpg</t>
  </si>
  <si>
    <t>cofrade como forma de vida🔔🔨 BM nuestra señora de la soledad(Mena)🥁🥁🥁 orgullo español🇪🇸🇪🇸🇪🇸</t>
  </si>
  <si>
    <t>Juan Sergio Redondo Pacheco</t>
  </si>
  <si>
    <t>Claro, conciso y contundente...se acabaron las medias tintas, los abusos y los complejos. @Santi_ABASCAL @vox_es #StopMarroquinizacion #stopislamizacion RT @CasoAislado_Es: Santiago Abascal, presidente de @vox_es ha defendido que en los colegios españoles se siga comiendo jamón aunque "moleste a los islamistas".</t>
  </si>
  <si>
    <t>https://twitter.com/CasoAislado_Es/status/1063844974129750016
https://casoaislado.com/vox-lo-deja-claro-se-comera-jamon-los-colegios-aunque-moleste-los-islamistas/</t>
  </si>
  <si>
    <t>Ceuta, España</t>
  </si>
  <si>
    <t>Dios no manda cosas imposibles, sino que, al mandar lo que manda, te invita a hacer lo que puedas y pedir lo que no puedas y te ayuda para que puedas. 🇪🇸🇪🇸</t>
  </si>
  <si>
    <t>yurop</t>
  </si>
  <si>
    <t>En #sosprisiones estamos en lucha @martintoledano @josecdiez @PepaBueno #DerbiAsturiano #L6Nvillarejo #L6Npérezreverte @Alcoanosecierra @OscarDS @nachoprendes @rosadiezglez @Santi_ABASCAL @Buenafuente #SomosLaAudiencia17 @VicencNavarro #Onu @ZaidaCantera @rodriguezbraun @Fgarea</t>
  </si>
  <si>
    <t>https://pbs.twimg.com/media/DsPO_sqXgAA-6BL.jpg</t>
  </si>
  <si>
    <t>Felicidades @Santi_ABASCAL !!!! Eres grande, muy grande!!!!! RT @vox_es: 📹 Así está la Plaza de la Marina de Málaga a 15 minutos de que empiece el acto de campaña con @Santi_ABASCAL, @Ortega_Smith y nuestros candidatos. Andalucía se contagia de fuerza e ilusión. El 2 de diciembre daremos la sorpresa 💪🇪🇸 ✅ Vota VOX, vota #AndalucíaPorEspaña</t>
  </si>
  <si>
    <t>https://twitter.com/vox_es/status/1063756312025145344</t>
  </si>
  <si>
    <t>pic.twitter.com/BjFTk3Yt90</t>
  </si>
  <si>
    <t>Barcelona, Cataluña</t>
  </si>
  <si>
    <t>El último patriarca</t>
  </si>
  <si>
    <t>Yo subo la apuesta. Propongo hacer quedadas en frente de las mezquitas bocata de jamón en la mano mientras hablamos de como arreglar España. En plan de cañas por España, pero con bocatas por España. @Santi_ABASCAL que te parece? RT @COPE: La nueva propuesta de @vox_es "Que se coma jamón en los colegios, aunque moleste a los islamistas"</t>
  </si>
  <si>
    <t>https://twitter.com/COPE/status/1063807605531975680
http://ww.cope.es/iqhr13</t>
  </si>
  <si>
    <t>Asturias, Principado de Asturi</t>
  </si>
  <si>
    <t>El azote de la corrección política. Feminazi ríndete, estás rodeada. Viva España, abajo el marxismo cultural imperante.</t>
  </si>
  <si>
    <t>Diséxlico</t>
  </si>
  <si>
    <t>Hay una escena muy VOX en 'Los Crímenes de Grindelwald' en la que Johnny Depp aka Grindelwald hace de Santi Abascal. El mitin en el cementerio y cómo habla de los muggles. Vistalegre 1927.</t>
  </si>
  <si>
    <t>📺 No nos preocupan las mentiras de La Sexta. Los españoles saben diferenciar muy bien quienes están con España y quienes contra ella 🇪🇸💪 TODOS A VOTAR @Santi_ABASCAL</t>
  </si>
  <si>
    <t>Donde lo del terrorismo</t>
  </si>
  <si>
    <t>Salda dago.</t>
  </si>
  <si>
    <t>Jesús García Calvillo</t>
  </si>
  <si>
    <t>+Policía? Les llamo porque un tal Santi Abascal me quiere usar para no sé qué de reconquista</t>
  </si>
  <si>
    <t>Si todos remamos hacia una misma dirección, irá todo mejor. Por y para España. 🇪🇸 @pablocasado_ @PPopular @vox_es @Santi_ABASCAL</t>
  </si>
  <si>
    <t>https://pbs.twimg.com/media/DsO_6Z4XgAE5Tau.jpg</t>
  </si>
  <si>
    <t>Lucena, España</t>
  </si>
  <si>
    <t>El toro y el vino, debe ser fino. 🇪🇸</t>
  </si>
  <si>
    <t>Belén</t>
  </si>
  <si>
    <t>. @vox_es promete “expulsar a los señoritos de San Telmo y a los chavistas” tras las andaluzas Lleno total en la Plaza de la Marina de Málaga @Santi_ABASCAL pide “comer jamón en los colegios” aunque "moleste a los islamistas” #EleccionesAndaluzas</t>
  </si>
  <si>
    <t>https://okdiario.com/general/2018/11/17/vox-promete-expulsar-senoritos-san-telmo-chavistas-andaluzas-3362454/amp?utm_term=Autofeed&amp;utm_campaign=ok&amp;utm_medium=Social&amp;utm_source=Twitter&amp;__twitter_impression=true</t>
  </si>
  <si>
    <t>Mujer, española y extremeña de pura cepa...</t>
  </si>
  <si>
    <t>Eleonora Albiols Pons</t>
  </si>
  <si>
    <t>Cuando desde la izquierda os hablen de democracia y libertad de expresion, ponedles este video. Gracias @Santi_ABASCAL @vox_es cada dia mas necesario Esto sí es una rueda de prensa libre</t>
  </si>
  <si>
    <t>https://pbs.twimg.com/media/DsUIiECWsAAOs5M.jpg</t>
  </si>
  <si>
    <t>https://www.youtube.com/watch?v=nKuTX3MaDzg</t>
  </si>
  <si>
    <t>Cuando desde la izquierda os hablen de democracia y libertad de expresion, ponedles este video. Gracias @Santi_ABASCAL @vox_es cada dia mas necesarios!!</t>
  </si>
  <si>
    <t>Cuando un mitin en Terrassa en Can Anglada @Santi_ABASCAL ?</t>
  </si>
  <si>
    <t>Nunca nopuedo/ Alérgico a las sectas</t>
  </si>
  <si>
    <t>Sr.Woop</t>
  </si>
  <si>
    <t>Si al final va a tener razón @vox_es y @Santi_ABASCAL Bruselas apunta a las autonomías como el gran problema de España  vía @ABCeconomia</t>
  </si>
  <si>
    <t>https://www.abc.es/economia/abci-bruselas-apunta-autonomias-como-gran-problema-espana-201805232114_noticia.html#ns_campaign=rrss-inducido&amp;ns_mchannel=abc-es&amp;ns_source=tw&amp;ns_linkname=noticia-foto&amp;ns_fee=0</t>
  </si>
  <si>
    <t>Harto de tanta tontería, buenismo, extremismo, populismo, feminazismo y corrección política. Anticomunista y antiPodemos.</t>
  </si>
  <si>
    <t>El ingénuo @pablocasado se sorprende de que el doctor #CumFraude YA no hable de #Venezuela ni #ElSalvador. Lógico como presidente de #Españazuela @Santi_ABASCAL @CasaReal @GeneralDavila @Ortega_Smith @rosadiezglez @LosantosPosts @monasterioR @GirautaOficial @carloscuestaEM</t>
  </si>
  <si>
    <t>Milton Benedict</t>
  </si>
  <si>
    <t>Multitudinario acto de campaña a cargo de @vox_es en Málaga con @Santi_ABASCAL dedendiendo los principios que hacen grande a nuestra nación. Lástima que no hubiera nadie de @laSextaTV</t>
  </si>
  <si>
    <t>https://youtu.be/K9rbJLdQUuI</t>
  </si>
  <si>
    <t>Sancho, si los perros ladran es señal de que avanzamos.</t>
  </si>
  <si>
    <t>Gonzalico69</t>
  </si>
  <si>
    <t>HOY EN VALLADOLID LOS PERROFLAUTAS CREO QUE ERAN MENOS QUE AYER EN MADRID.  LOS DE VOX LE VAN A TENER QUE PRESTAR GENTE PARA APARENTAR QUE LLENAN LOS ACTOS @ahorapodemos @harryelsocio @vox_es @Santi_ABASCAL @</t>
  </si>
  <si>
    <t>http://AL.FINAL</t>
  </si>
  <si>
    <t>Español por los 4 costados.♥ el truco se puede aprender, la magia hay que tenerla.</t>
  </si>
  <si>
    <t>Victoria  ن</t>
  </si>
  <si>
    <t>Una vez más, un acto de #VOX es un gran éxito. Ayer 1.000 personas en El #Ejido #Almeria . Hoy más de 3.500 en #Malaga #AndaluciaVotaVox @vox_es @Santi_ABASCAL @Ortega_Smith @FSerranoCastro</t>
  </si>
  <si>
    <t>pic.twitter.com/fFsQjV8yzu</t>
  </si>
  <si>
    <t>Mis opiniones aquí son sólo mías.</t>
  </si>
  <si>
    <t>Zanzibar 15M</t>
  </si>
  <si>
    <t>Santi Abascal tiene nombre de ambientador de coche chungo. De esos que huelen a pinomierder</t>
  </si>
  <si>
    <t>VictoriaCS ن #Æ ❤️🇪🇸💛🇪🇸❤️</t>
  </si>
  <si>
    <t>Esperando la denuncia ante @policia @guardiacivil de esta aberración e invitación al crimen. @Santi_ABASCAL RT @IosuBilbao: Antes de conocer realmente a #OrtegaLara consideraba atroz su secuestro. Hoy lo que compruebo atroz es su liberación.</t>
  </si>
  <si>
    <t>https://twitter.com/IosuBilbao/status/1063040047631474689</t>
  </si>
  <si>
    <t>Vivo en una Dictadura Digital</t>
  </si>
  <si>
    <t>Si un torero es un artista, mi carnicero es escultor abstracto. http://sgale20.blogspot.com</t>
  </si>
  <si>
    <t xml:space="preserve">España ((( ))) </t>
  </si>
  <si>
    <t>Hemos construido 1 sistema q nos persuad a gastar dinero q no tenemos n cosas q no necesitamos para crear impresiones q no durarán en personas q no nos importan</t>
  </si>
  <si>
    <t>Javier González V.</t>
  </si>
  <si>
    <t>Estupidez de Vox número 22: no podemos comer jamón los que nos gusta porque los musulmanes nos lo prohíben. Pero llegará @Santi_ABASCAL montado a caballo para salvarnos. Definitivamente los que votan a @vox_es son tontos si creen a esta persona. RT @europapress: Vox: "Queremos comer jamón en los colegios y que no venga nadie a decirnos lo que tenemos que hacer en nuestra tierra, sean de fuera o de dentro; comeremos jamón les moleste a los islamistas o a los animalistas"</t>
  </si>
  <si>
    <t>La religión y el nacionalismo, dios y patria, son un pasado a superar. La historia, para deleitarse y aprender no para repetir el pasado en el futuro.</t>
  </si>
  <si>
    <t>Gallego Cabrón</t>
  </si>
  <si>
    <t>Que alguien le pregunte a @vox_es y @Santi_ABASCAL como piensan repoblar las zonas rurales de España.</t>
  </si>
  <si>
    <t>Galicia, Reino de España</t>
  </si>
  <si>
    <t>Soy Gallego porque soy Español 🇪🇸SANTIAGO Y CIERRA ESPAÑA🇪🇸</t>
  </si>
  <si>
    <t>Fundación DENAES</t>
  </si>
  <si>
    <t>Desde Denaes desmentimos rotundamente esta vieja información . Nuestra fundación no dispone de sección juvenil alguna. Sospechamos que estamos ante un burdo intento de atacar a @Santi_ABASCAL</t>
  </si>
  <si>
    <t>Fundación para la Defensa de la Nación Española http://www.nacionespanola.org</t>
  </si>
  <si>
    <t>http://www.denaes.es</t>
  </si>
  <si>
    <t>¡Dios! ¡Star Trek estaba adelantadísima a su tiempo...! ¡Es el Capitán Kirk, recibiendo a independentistas y lazoamarimierdas en el Enterprise...! Tengo que volver a meterme la serie en vena. @hermanntertsch @vox_es @carloscuestaEM @CristinaSegui_ @Santi_ABASCAL @isanseba</t>
  </si>
  <si>
    <t>https://pbs.twimg.com/media/DsOfsBCWwAEhY1_.jpg</t>
  </si>
  <si>
    <t>Santi Abascal "EL ANTISISTEMA" 🤣🤣🤣🤣🤣🤣🤣🤣🤣🤣🤣🤣🤣🤣🤣🤣🤣🤣🤣🤣🤣🤣🤣🤣🤣🤣🤣🤣🤣🤣🤣🤣🤣🤣🤣🤣🤣🤣🤣🤣🤣🤣🤣🤣🤣🤣🤣🤣🤣🤣🤣🤣🤣🤣🤣 Sello de @cunadometro y zasca de @Jjsb441 para @Santi_ABASCAL</t>
  </si>
  <si>
    <t>https://pbs.twimg.com/media/DsOfXBBW0AAXZ9W.jpg</t>
  </si>
  <si>
    <t>San Sebastián, España</t>
  </si>
  <si>
    <t>Viendo estas imágenes una y otra vez por donde quiera q van @Santi_ABASCAL, @Ortega_Smith y Ortega Lara con @vox_es es muy normal q @laSextaTV intente boicotear mintiendo sobre VOX pq es la única forma q tienen ya los Rojos para parar este poder de convocatoria, La #EspañaViva RT @Santi_ABASCAL: VOX desborda el mitin de #Málaga con más de 3.500 asistentes. La #EspañaViva acelera su paso y se encamina a un triunfo electoral en #AndalucíaPorEspaña #VotaVOX</t>
  </si>
  <si>
    <t>COPE</t>
  </si>
  <si>
    <t>Tras pasar @JuanMa_Moreno por COPE, @Santi_ABASCAL de @vox_es llama “inútil” al PP por no haber desalojado al PSOE de Andalucía en 40 años</t>
  </si>
  <si>
    <t>http://ww.cope.es/fei2c1</t>
  </si>
  <si>
    <t>Está pasando, estás en COPE 📻 Toda la información 💻, el mejor equipo de la radio deportiva🏅, el mejor entretenimiento y podcast 🎙️</t>
  </si>
  <si>
    <t>http://www.cope.es</t>
  </si>
  <si>
    <t>VOX LES PREOCUPA MÁS QUE ESPAÑAZUELA, EL GOLPE, Y EL FRENTE POPULAR Casado tira de firmeza con el PP cada vez más preocupado por VOX  @Santi_ABASCAL @monasterioR @GeneralDavila @GirautaOficial @rosadiezglez @AsisTimermans @carloscuestaEM @LosantosPosts</t>
  </si>
  <si>
    <t>https://www.libertaddigital.com/espana/2018-11-17/casado-tira-de-firmeza-y-el-pp-teme-el-avance-de-vox-1276628403/</t>
  </si>
  <si>
    <t>ConÑdeEspaÑa</t>
  </si>
  <si>
    <t>Para cd streaming en los actos que podamos verlos todos? @vox_es @Santi_ABASCAL @Ortega_smith RT @Vox_Fuengirola: 🇪🇸🇪🇸 🎥⤵️ Gran éxito de @vox_es en #Malaga con más de 3.000 asistentes, con @vox_malaga #AndalucíaPorEspaña #VOXAvanza #VOXÚtil</t>
  </si>
  <si>
    <t>https://twitter.com/Vox_Fuengirola/status/1063802680479547394</t>
  </si>
  <si>
    <t>pic.twitter.com/DJtSmZgW6l</t>
  </si>
  <si>
    <t>La caridad es humillante porque se ejerce verticalmente y desde arriba; la solidaridad es horizontal e implica respeto mutuo. Eduardo Galeano (1940-2015).</t>
  </si>
  <si>
    <t>Profesor Jaén</t>
  </si>
  <si>
    <t>📝 Mi artículo en @Sevillainf @Sevilla_Inf sobre el acto de @vox_es en #Sevilla. "[...] Lo que se vino a decir es ‘dos y dos son cuatro’, en tiempos en los que si no dices ‘cuatro y cuatra’ te llaman de fascista para arriba." #EspañaViva @Santi_ABASCAL</t>
  </si>
  <si>
    <t>https://www.sevillainfo.es/noticias-de-opinion/no-me-callo/</t>
  </si>
  <si>
    <t>Cuenta estrictamente personal · Fundador de @letralibre_es · También escribo en @ITrDigital y @Sevillainf</t>
  </si>
  <si>
    <t>http://www.letralibre.es</t>
  </si>
  <si>
    <t>José Reig 🇪🇸💪</t>
  </si>
  <si>
    <t>Hoy, en el mitin de @vox_es en Málaga, he escuchado a @Ortega_Smith y me ha encantado. Te das cuenta de la cantidad de papanatas tenemos en el gobierno y en la oposición. @vox_es tiene q llegar al poder y quitar toda la porquería q hay. Ánimo @Santi_ABASCAL 💪🏼.</t>
  </si>
  <si>
    <t>Orgulloso de ser español y harto de Pedro Sánchez</t>
  </si>
  <si>
    <t>Más comentados ahora en Cataluña/Catalanismo: ➀ @InesArrimadas ➁ @sanchezcastejon ↓ ➂ @jcanadellb ↓ ➃ @Aracelisegarra ↓ ➄ @KRLS ➅ @Albert_Rivera ↑↑ ➆ @pablocasado_ ↑↑ ➇ @Santi_ABASCAL ↑↑ ➈ @PPopular ↑</t>
  </si>
  <si>
    <t>João M. Duarte</t>
  </si>
  <si>
    <t>¿Cómo sabes que un mitin es de @vox_es ? -Casi hay + banderas de España que personas 🇪🇸 -Se habla principalmente de los españoles 💪🏻 -Se escucha siempre el himno nacional 🙌🏻 -Se grita sin complejos ¡Viva España! 🗣️🇪🇸 Gracias por tanto @Santi_ABASCAL @vox_malaga @Ortega_Smith</t>
  </si>
  <si>
    <t>pic.twitter.com/tulweAtQzg</t>
  </si>
  <si>
    <t>Pamplona, Spain</t>
  </si>
  <si>
    <t>Portuguese 🇵🇹🇵🇹🇵🇹 and ........ I support Spain 🇪🇸</t>
  </si>
  <si>
    <t>TODOS A VOTAR A NUESTRO GRANDÍSIMO @Santi_ABASCAL RT @AzotePu: @lunadebenidorm Lo de no querer trabajar serán por estos personajes,no? Denada</t>
  </si>
  <si>
    <t>https://twitter.com/AzotePu/status/1063852449235120128</t>
  </si>
  <si>
    <t>https://pbs.twimg.com/media/DsOQKJjX4AAXchO.jpg</t>
  </si>
  <si>
    <t>Iniciativa Levantate</t>
  </si>
  <si>
    <t>CATIBERIC🐾🍁</t>
  </si>
  <si>
    <t>Esta es la independencia, el absolutismo. El que no me gusta lo violento hasta que se vaya! Una sociedad no puede permitir esto. En España no puede caber este nazismo. Fiscalia, @fiscal_es @sanchezcastejon @pablocasado_ @Albert_Rivera @Santi_ABASCAL RT @Arran_jovent: 🎥 VÍDEO | El poble mana, @Arran_jovent obeeix. 8 mesos després, per petició popular i amb una resolució de la instrucció judicial que preveu sentències desmesurades, ho hem tornat a fer: assenyalem al Jutge Llarena com a símbol del #Règimdel78! #EstripemLaBaralla 🃏</t>
  </si>
  <si>
    <t>https://twitter.com/Arran_jovent/status/1062630299463532544</t>
  </si>
  <si>
    <t>pic.twitter.com/JvtjujIF52</t>
  </si>
  <si>
    <t>CATALUÑA con Ñ ...y no hay más que hablar #WhiteWednesdays</t>
  </si>
  <si>
    <t>¡Vamos a recuperar los valores que han hecho grande a España!</t>
  </si>
  <si>
    <t>http://levantatespana.blogspot.com/</t>
  </si>
  <si>
    <t>Me llega por todos lados este vídeo viral desde ayer. La España Viva, la España sencilla, lo tiene claro. Puro sentido común.</t>
  </si>
  <si>
    <t>ULTIMA HORA || Primeras imágenes de #Grindelwald en la tercera parte de Animales fantásticos. @Santi_ABASCAL</t>
  </si>
  <si>
    <t>https://pbs.twimg.com/media/DsONRoNW0AYkwcr.jpg</t>
  </si>
  <si>
    <t>La #EspañaViva se siente representada en @vox_es. Es indudable que #VOXAvanza y se convierte en una verdadera #esperanza para #España y los #Españoles. Para muchos de nosotros, #EspañaLoPrimero gracias a @Santi_ABASCAL, @Ortega_Smith, @monasterioR y todo su #equipo. RT @Santi_ABASCAL: VOX desborda el mitin de #Málaga con más de 3.500 asistentes. La #EspañaViva acelera su paso y se encamina a un triunfo electoral en #AndalucíaPorEspaña #VotaVOX</t>
  </si>
  <si>
    <t>AT</t>
  </si>
  <si>
    <t>155 pero YA!! @sanchezcastejon ELECCIONES GENERALES !! No podemos seguir con un payaso en nuestro gobierno! @vox_es @Santi_ABASCAL @pablocasado_ @Albert_Rivera @manuelvalls RT @alandete: El consejero Maragall defiende el separatismo en el Capitolio ante la pasividad diplomática española  via @abc_es</t>
  </si>
  <si>
    <t>https://twitter.com/alandete/status/1063845517195497473
https://www.abc.es/espana/abci-consejero-maragall-defiende-separatismo-capitolio-ante-pasividad-diplomatica-espanola-201811170249_noticia.html</t>
  </si>
  <si>
    <t>Cañas por España 🇪🇸</t>
  </si>
  <si>
    <t>📰 El @indpcom se hace eco de nuestro acto: Jóvenes sevillanos de entre 15 y 20 años acuden a “Cañas por España”. ☝🏻«Os van a llamar facha y hay gente dispuesta a todo contra nosotros, pero eso no os debe atemorizar, sino daros fuerzas» -@Santi_ABASCAL</t>
  </si>
  <si>
    <t>¡Merece ña pena escuchar estos 15 minutos de sensatez! .@Santi_ABASCAL, .@Ortega_Smith, .@monasterioR, .@voxnoticias_es #VoxAvanza Vídeo 👉🏼</t>
  </si>
  <si>
    <t>Iniciativa juvenil de @vox_es. Comprometidos en mejorar España. Todos los meses iremos de cañas con un invitado especial, ¡no te lo pierdas!</t>
  </si>
  <si>
    <t>http://canasporespana.es</t>
  </si>
  <si>
    <t>📸 Lleno hasta la bandera ayer en Sevilla en el acto de @canasporespana con @Santi_ABASCAL. El próximo 2 de diciembre los deseos y reivindicaciones de la juventud española estarán representados en el parlamento de Andalucía gracias a @vox_es. #AndalucíaPorEspaña</t>
  </si>
  <si>
    <t>¡GIBRALTAR ESPAÑOL! 🇪🇸 Hoy en el Campo de Gibraltar todo el día visitando Los Barrios y La Línea de la Concepción y conociendo de primera mano los problemas de la zona: paraíso fiscal británico, narcotráfico, contrabando, inmigración ilegal, desindustrialización y desempleo.</t>
  </si>
  <si>
    <t>https://pbs.twimg.com/media/DsOHf1GWwAA7ZMU.jpg</t>
  </si>
  <si>
    <t>Todos los sábados hablan de .@vox_es pero .@SextaNocheTV .@_InakiLopez_ no invitan a .@Santi_ABASCAL .@Ortega_Smith .@monasterioR para que puedan explicar su proyecto para España y debatir ideas... .@laSextaTV ¿Fachas no son quienes no dejan hablar a quienes piensan diferente? RT @WillyTolerdoo: Y si en vez de llamar ultraderecha o extrema derecha a VOX invitan a debates a sus representantes y dejan que cada uno se forme sus propias opiniones?</t>
  </si>
  <si>
    <t>https://twitter.com/WillyTolerdoo/status/1063758379125010432</t>
  </si>
  <si>
    <t>El equipo de VOX #Jaen que se ha desplazado hoy hasta #Malaga para disfrutar de la #EspañaViva acompañado de @Santi_ABASCAL @Ortega_Smith y @FSerranoCastro ➡️ Nuestra Reconquista empieza en #AndalucíaPorEspaña 🇪🇸🇪🇸🇪🇸</t>
  </si>
  <si>
    <t>https://pbs.twimg.com/media/DsOAYeeX4AEYmdq.jpg</t>
  </si>
  <si>
    <t>Antonio Briceño</t>
  </si>
  <si>
    <t>VOX va en serio... Qué tomen nota @PPopular y @CiudadanosCs...y por supuesto @psoeandalucia y @AdelanteAND. No subestimen a las muchas personas que quieren votar derecha como Dios manda, que no extrema @vox_es @Santi_ABASCAL RT @Santi_ABASCAL: VOX desborda el mitin de #Málaga con más de 3.500 asistentes. La #EspañaViva acelera su paso y se encamina a un triunfo electoral en #AndalucíaPorEspaña #VotaVOX</t>
  </si>
  <si>
    <t>https://www.abc.es/play/television/noticias/abci-santiago-abascal-critica-manipulacion-lasexta-201811161107_noticia.html#ns_campaign=amp-rrss-inducido&amp;ns_mchannel=abc-es&amp;ns_source=tw&amp;ns_linkname=noticia.foto&amp;ns_fee=0</t>
  </si>
  <si>
    <t>Desalentado</t>
  </si>
  <si>
    <t>— Oye, ¿sabías que el 99% de los fascistas no saben que lo son? — Ya te digo Santi Abascal.</t>
  </si>
  <si>
    <t>http://tomandoimpulso.blogspot.com</t>
  </si>
  <si>
    <t>De vocación, comunicador.</t>
  </si>
  <si>
    <t>JavierTejedor</t>
  </si>
  <si>
    <t>VOX dará la sorpresa en Andalucía. Cuando el CIS manipulador del socialista Tezanos da representación en las elecciones andaluzas -cortijo socialista- a VOX, a pesar de cocinar los resultados, lo que realmente tendrá será una barbaridad. @Santi_ABASCAL #AndalucíaPorEspaña</t>
  </si>
  <si>
    <t>ESPAÑOL Y MUY ORGULLOSO DE SERLO 🇪🇸🇪🇸🇪🇸🇪🇸🇪🇸🇪🇸🇪🇸</t>
  </si>
  <si>
    <t>Miguel Gutiérrez</t>
  </si>
  <si>
    <t>Lord Voldemort ha vuelto. Santi Abascal en su casa acariciando un gatito.</t>
  </si>
  <si>
    <t>A la llegada de @Santi_ABASCAL, los vítores eran constantes; la gente más unida que nunca y al grito de: “Presidente” @Santi_ABASCAL #EspañaViva #EleccionesAndaluzas</t>
  </si>
  <si>
    <t>De Málaga. Del mundo.</t>
  </si>
  <si>
    <t>https://pbs.twimg.com/media/DsN8ILgXcAcKM_T.jpg</t>
  </si>
  <si>
    <t>El indio 🎹</t>
  </si>
  <si>
    <t>Si supiera hacer memes haría uno de Santi Abascal con una gorra de la quinta del Buitre y una camiseta de Juanito.</t>
  </si>
  <si>
    <t>en La Mancha</t>
  </si>
  <si>
    <t>Soy el blanco del Whatsapp. No me llaméis pocosfollowers, llamadme sibarita del Tweeter. No me representa ningún partido político de este país.</t>
  </si>
  <si>
    <t>VOX Antequera 🇪🇸</t>
  </si>
  <si>
    <t>Desde @Vox_Antequera también hemos estado con la #EspañaViva en #Málaga, acompañando a nuestro presidente @Santi_ABASCAL. Exigiendo #FronterasSeguras y una inmigración legal y regulada. #AndalucíaPorEspaña #VotaVOX</t>
  </si>
  <si>
    <t>pic.twitter.com/NGznAf4ZXO</t>
  </si>
  <si>
    <t>Antequera, España</t>
  </si>
  <si>
    <t>Cuenta oficial de #VOX Antequera, el único partido de derecha, valiente sin complejos, que no se financia con dinero público. Cambie de siglas pero no de ideas</t>
  </si>
  <si>
    <t>Un argumento sumamente trillado, me temo. Ya no surte el efecto deseado. Muchos ciudadanos han abierto los ojos. @JuanMa_Moreno @Santi_ABASCAL #DESPIERTA #EleccionesGeneralesYa #EleccionesYa #EleccionesAndaluzas RT @COPE: .@JuanMa_Moreno: “Detrás de @vox_es hay un voto un poco antisistema. Es arriesgarse a que sea un voto inútil, que no sirva de nada, que impida el cambio en Andalucía”</t>
  </si>
  <si>
    <t>https://twitter.com/COPE/status/1063737360762974213
http://ww.cope.es/c64si3</t>
  </si>
  <si>
    <t>María de Tabarnia 🇪🇸 🌺</t>
  </si>
  <si>
    <t>VOTAR a @Santi_ABASCAL @vox_es RT @Miotroyo2parte: Hoy en el acto de @vox_es en Tarragona. Cuando oigo hablar de los peligros de la extrema derecha y luego escucho a los “antifascistas” gritando “pim, pam, pum, que no quede ni uno” o “piernas y brazos, fascistas a pedazos”, no sé si reírme o echarme a llorar.</t>
  </si>
  <si>
    <t>https://twitter.com/miotroyo2parte/status/1063816143671037953</t>
  </si>
  <si>
    <t>pic.twitter.com/ujpS37WgRp</t>
  </si>
  <si>
    <t>Barcelona, Cataluña, ESPAÑA</t>
  </si>
  <si>
    <t>Enamorada de la Mar y de la Luna, de la cultura, arte, música, deporte, de mis hijos, de Dios, del AMOR... "Cualquier noche de estas, volverá a brillar el Sol".</t>
  </si>
  <si>
    <t>A por ellos @Santi_ABASCAL RT @MediterraneoDGT: 🎥 ¡La #EspañaViva ha despertado! Interminables colas para hacerse 📸 #fotos con los líderes de 🇪🇸 @vox_es en #Málaga! 🗳️ #AndaluciaPorEspaña</t>
  </si>
  <si>
    <t>https://twitter.com/MediterraneoDGT/status/1063785519648305152</t>
  </si>
  <si>
    <t>pic.twitter.com/wgQUm80iiV</t>
  </si>
  <si>
    <t>Gata. Amazona de Tabarnia</t>
  </si>
  <si>
    <t>Él si es un preso político. Es más que una injusticia, es un rehén del independentismo y el Gobierno de Sánchez. @sanchezcastejon @Albert_Rivera @pablocasado_ @Santi_ABASCAL @Defensagob</t>
  </si>
  <si>
    <t>https://www.alertanacional.es/exclusiva-raul-macia-el-preso-politico-espanol-en-cataluna-concede-una-entrevista-a-alerta-nacional/</t>
  </si>
  <si>
    <t>Quédate quieto, en silencio y escucha a tu corazón. Y cuando te hable, levantate y ve donde él te lleve.</t>
  </si>
  <si>
    <t>Abel</t>
  </si>
  <si>
    <t>Tápate un poco @Santi_ABASCAL Vergüenza me daría usar una frase de Ledesma, sabiendo que su ideología, y su forma de entender el patriotismo, era diametralmente opuesta a la tuya.</t>
  </si>
  <si>
    <t>Licenciado en Química. Madridista/Mourinhista</t>
  </si>
  <si>
    <t>VOX Prensa Alicante</t>
  </si>
  <si>
    <t>Hoy en Málaga @Santi_ABASCAL 👇👇👇👇 Vox “defiende la libertad” mientras que el resto de partidos “pisotean la patria, los valores, las tradiciones y la fe” de los españoles. @vox_es @voxnoticias_es #AndalucíaPorEspaña #EspañaViva</t>
  </si>
  <si>
    <t>Ben Quick #LibertadConstituyente #Demos</t>
  </si>
  <si>
    <t>https://pbs.twimg.com/media/DsNyrcBWoAAHhqr.jpg</t>
  </si>
  <si>
    <t>Alicante, Comunidad Valenciana</t>
  </si>
  <si>
    <t>Perfil oficial de la Vicesecretaría de Prensa y Comunicación de @alicante_vox. Contacto de prensa en 📧 prensa@alicante.voxespana.es</t>
  </si>
  <si>
    <t>B. Quick llega a un pequeño pueblo tras ser expulsado de otra ciudad, acusado de provocar un incendio. Allí es contratado por W. Varner, dueño y señor del lugar</t>
  </si>
  <si>
    <t>HOY VOX EN SOL @madrid_vox @ruben_olmeda @Santi_ABASCAL @pablocasado_ @Pablo_Iglesias_ @eslatarde @Juan_A_Morales @iErrefon @cayetanaAT #AhoraSiSevilla #AndaluciaPorEspana #VoxMadrid</t>
  </si>
  <si>
    <t>https://pbs.twimg.com/media/DsNxrhLXcAIamga.jpg</t>
  </si>
  <si>
    <t>"Las personas obreras, de clase media, las personas que tienen más dificultades en el día a día son los que más necesitan a la Patria." - @Santi_ABASCAL en #Sevilla con los jóvenes de @canasporespana #EspañaViva</t>
  </si>
  <si>
    <t>https://pbs.twimg.com/media/DsNxLfDWoAEs4VL.jpg</t>
  </si>
  <si>
    <t>🤨 @vox_es (@Santi_ABASCAL @Ortega_Smith) quiere que se "coma jamón en los colegios” aunque moleste a los "islamistas”  vía @elespanolcom</t>
  </si>
  <si>
    <t>Tiene cosas buenas, cierto, pero tampoco sabríamos quién es Santi Abascal, ni Rosalía, ni el Wismichu o como cojones se llame... Las cabras que entran por las que salen. RT @bukukubukuku: Que yo por otros no puedo hablar, pero personalmente sin internet seguiría todavía en mi pueblo y no conocería ni el 10% de las cosas y formas diferentes de pensar y vivir que conozco.</t>
  </si>
  <si>
    <t>https://twitter.com/bukukubukuku/status/1064121896395046912</t>
  </si>
  <si>
    <t>Diario SUR</t>
  </si>
  <si>
    <t>#EleccionesAndaluzas @Santi_ABASCAL protagoniza un concurrido acto de #Vox en #Málaga con el patriotismo como bandera y augura que el #2D los andaluces darán a su partido «la llave» de la gobernabilidad en Andalucía. Informa @amontillaromero</t>
  </si>
  <si>
    <t>https://www.diariosur.es/elecciones/andaluzas/reprocha-inutilidad-desalojar-20181117155901-nt.html#ns_campaign=gs-ms&amp;ns_mchannel=diariosur&amp;ns_source=tw&amp;ns_linkname=ltl</t>
  </si>
  <si>
    <t>#Noticias de #últimahora de #Málaga, España y el mundo. En WhatsApp ☎ 660481739.</t>
  </si>
  <si>
    <t>http://www.diariosur.es</t>
  </si>
  <si>
    <t>Marcothefutur</t>
  </si>
  <si>
    <t>Esto es odio sin condena. Señores @Santi_ABASCAL @Albert_Rivera @InesArrimadas que pensáis??? RT @PabloMM: Han pasado cinco años desde el asalto a Blanquerna. Los nazis que lo llevaron a cabo no han ingresado en prisión. Hoy han condenado a ocho meses de cárcel a los antifascistas que ayer protestaron frente a un mitin de VOX.</t>
  </si>
  <si>
    <t>https://twitter.com/PabloMM/status/1063174876515786752</t>
  </si>
  <si>
    <t>pic.twitter.com/FF8ZndZCNf</t>
  </si>
  <si>
    <t>Leonardo</t>
  </si>
  <si>
    <t>Esto es lo que no muestran los medios españoles. #VoxAvanza @vox_es @monasterioR @Santi_ABASCAL RT @vox_es: 📹 @Ortega_Smith en una Plaza de la Marina de Málaga llena: "Demostradles desde Andalucía que la #EspañaViva se ha puesto en pie" . ✅ Vota VOX, vota #AndalucíaPorEspaña</t>
  </si>
  <si>
    <t>Carmen Torres</t>
  </si>
  <si>
    <t>https://twitter.com/vox_es/status/1063765506287681536</t>
  </si>
  <si>
    <t>pic.twitter.com/qREUW9lXVB</t>
  </si>
  <si>
    <t>Periodista en El Independiente. Información política. Cuenta personal.</t>
  </si>
  <si>
    <t>http://www.elindependiente.com/autor/carmen-torres/</t>
  </si>
  <si>
    <t>Libertario - IT Consultant &amp; Computer Science - Surfer &amp; Skater. Miembro de @rumbo_libertad 🗽</t>
  </si>
  <si>
    <t>http://rumbolibertad.org</t>
  </si>
  <si>
    <t>Las elecciones andaluzas serán el primer escenario para medir el alcance del partido de @Santi_ABASCAL</t>
  </si>
  <si>
    <t>http://ww.cope.es/q06po2</t>
  </si>
  <si>
    <t>#Anécdota | @Santi_ABASCAL, presidente de @vox_es, se acuerda del 'Malamente' de @rosaliavt. Así sucedió todo...</t>
  </si>
  <si>
    <t>https://www.elindependiente.com/politica/2018/11/17/abascal-usa-malamente-rosalia-terminar-mitin-vox-malaga/?utm_source=share_buttons&amp;utm_medium=twitter&amp;utm_campaign=social_share2</t>
  </si>
  <si>
    <t>🔴 La plataforma la "España Viva” y @fdenaes convocan a todos los españoles a sumarse a la concentración en la plaza Colón de Madrid el próximo sábado 1 de diciembre a las 12:00 para evitar la impunidad de los golpistas, e invitan al PP, Ciudadanos y VOX a intervenir en la misma</t>
  </si>
  <si>
    <t>El Enfurecido</t>
  </si>
  <si>
    <t>📈#ULTIMAHORA | Resultados de la encuesta sobre VOX. 🤔¿Y tú que piensas? @Ortega_Smith : 61.5% @Santi_ABASCAL : 30.8% @monasterioR : 7.7% #españaviva #españa #vox #voxavanza #escuesta #AndaluciaPorEspaña #espana #noticias #FelizSabado 💚⤵️</t>
  </si>
  <si>
    <t>Normal, siempre manipulando, por eso yo no la veo😬 Santiago Abascal critica la «manipulación» de laSexta @vox_es @Santi_ABASCAL ✌️  vía @ABC_PlayTV</t>
  </si>
  <si>
    <t>https://elenfurecido.wordpress.com/2018/11/04/encuesta-quien-es-tu-politico-favorito-de-vox/</t>
  </si>
  <si>
    <t>☢️🖥️📻📺⤵️ La web políticamente incorrecta. Conservador. Realista. Crítico. ¡Si eres políticamente incorrecto, esta es tu web! #EspañaViva</t>
  </si>
  <si>
    <t>http://www.elenfurecido.wordpress.com</t>
  </si>
  <si>
    <t>Decir lo contrario que dice @Santi_ABASCAL y @vox_es es ser, o enemigo encarnizado de España O, directamente, tonto del culo, de los que tiran piedras a su propio tejado. No le deis más vueltas</t>
  </si>
  <si>
    <t>https://pbs.twimg.com/media/DsNmwS0WsAEn0-J.jpg</t>
  </si>
  <si>
    <t>Cuando Francisco Gil, @guardiacivil liberó a Ortega LARA: «Ortega Lara estaba destrozado. Cuando me vio se encogió y me dijo que lo matase. Fue tremendo. Cómo olía el zulo, era una tumba» Ningún ESPAÑOL lo olvida🙏 Hay que VOTAR a @vox_es @Santi_ABASCAL</t>
  </si>
  <si>
    <t>pic.twitter.com/NLucsmLfNG</t>
  </si>
  <si>
    <t>Sr. Gomas</t>
  </si>
  <si>
    <t>Es el discurso de @Santi_ABASCAL de Vistalegre. Tiene mas razón que un santo, normal que le suban los votos...</t>
  </si>
  <si>
    <t>https://www.youtube.com/watch?v=t_CIfZ5amIE</t>
  </si>
  <si>
    <t>España, Unión Europea</t>
  </si>
  <si>
    <t>#TeamFacha, entre otras cosas.</t>
  </si>
  <si>
    <t>José Manuel Sánchez 🇪🇸</t>
  </si>
  <si>
    <t>Llegada al acto de @vox_es a la Plaza de la Marina de #Málaga de @santi_abascal y javierortegasmith Presidente y Secretario de @vox_es 🇪🇸🇪🇸🇪🇸 en Málaga, Spain</t>
  </si>
  <si>
    <t>https://www.instagram.com/p/BqSMnJPnZbb6cgHuEN6vTSv6I_zU1_l7TaYsZM0/?utm_source=ig_twitter_share&amp;igshid=1nqg40x4gqhdp</t>
  </si>
  <si>
    <t>MELILLA-MÁLAGA</t>
  </si>
  <si>
    <t>xatria🇪🇸</t>
  </si>
  <si>
    <t>Melilla(España),http://Facebook.com/josemanuel.sanchezgarcia.94 http://Instagram.com josemanuel_tini</t>
  </si>
  <si>
    <t>En Sevilla, con menos de 20 horas de convocatoria, se reunieron 400 jóvenes con Santi Abascal #CañasPorEspaña RT @xavibuntu: @alonso_dm Habían, siendo generosos, 2000 personas y 3/4 partes eran personas mayores. La extrema derecha española está muy lejos de dar un salto cuantitativo importante mientras siga con un discurso decimonónico que recuerda mas a Blas Piñar que al Front National francés</t>
  </si>
  <si>
    <t>https://twitter.com/xavibuntu/status/1063875671368376320</t>
  </si>
  <si>
    <t>Juananttt</t>
  </si>
  <si>
    <t>.@Santi_ABASCAL me gustaría saber cuál es la propuesta de @vox_es en relación a las autonomías. Las suprimirían? Restarían sus competencias? Las mantendrían igual? Gracias!</t>
  </si>
  <si>
    <t>Julorre</t>
  </si>
  <si>
    <t>GRACIAS @vox_es sois de extrema necesidad. Todos a aquellos que tengáis un hueco en vuestra apretada agenda deberíais pararse a escuchar a @Santi_ABASCAL @Ortega_Smith os daréis cuenta que sólo quieren lo mejor para #Espana @vox_malaga #EspañaViva #AndalucíaPorEspaña</t>
  </si>
  <si>
    <t>pic.twitter.com/nCnFiXaejE</t>
  </si>
  <si>
    <t>💪Madrid💪-⚓Málaga⚓</t>
  </si>
  <si>
    <t>- Si puedes soñarlo...puedes hacerlo 💪💪</t>
  </si>
  <si>
    <t>Violet Voltage</t>
  </si>
  <si>
    <t>Vamos a pasarbpor alto el hecho de que los republicanos tengan a un señor que parece santi abascal con un parche en el ojo? RT @ericawerner: House Republicans-elect look pretty different from House Democrats-elect.</t>
  </si>
  <si>
    <t>Todo me da palo. Voy a dormir soy la sombra inmensa de mis lagrimas</t>
  </si>
  <si>
    <t>https://curiouscat.me/IvanZDRK</t>
  </si>
  <si>
    <t>Gothia</t>
  </si>
  <si>
    <t>¿Para cuándo os vais a dejar de palabras, @Santi_ABASCAL , @pablocasado_ y @Albert_Rivera y vais a liderar una huelga contra la subida del combustible?¿Para cuándo?</t>
  </si>
  <si>
    <t>Ex-madridista. Haz y no digas. Deja el puto blablablá porque no voy a escucharte. Autor de "Me llamo Ulises"</t>
  </si>
  <si>
    <t>¡Que gracioso #ErEs Juanma! #Antisistema dice @JuanMa_Moreno que es vitar a @vox_es, yo diria más bien que el @ppandaluz no llena sus actos como es debido y meten miedo con el “voto util” #ElVotoInutilEsElPP 🇪🇸✌🏻 @Santi_ABASCAL @monasterioR @Ortega_Smith @FSerranoCastro #AhoraVOX RT @CasoAislado_Es: Nuevo éxito de @vox_es en Málaga. Más de 2.000 personas han llenado la Plaza de la Marina de la capital malagueña. En Podemos ya miran con envidia los actos del partido de @Santi_ABASCAL</t>
  </si>
  <si>
    <t>Lagartito</t>
  </si>
  <si>
    <t>Hay gente que va a los museos y luego está Santi Abascal... Que va si, pero al del jamon 😂😂😂 RT @elentirvigo: Santiago Abascal defiende la libertad para comer jamón... y así lo manipulan algunos. Hay medios que parecen empeñados en tirar por la borda su credibilidad...</t>
  </si>
  <si>
    <t>https://twitter.com/CasoAislado_Es/status/1063763751764193280
https://casoaislado.com/podemos-mira-con-envidia-los-actos-de-vox-mas-de-2-000-personas-acuden-al-celebrado-en-malaga/</t>
  </si>
  <si>
    <t>https://twitter.com/elentirvigo/status/1064039542032752641?s=19
http://www.outono.net/elentir/2018/11/18/santiago-abascal-defiende-la-libertad-para-comer-jamon-y-asi-lo-manipulan-algunos/</t>
  </si>
  <si>
    <t>Cayendo al vacio</t>
  </si>
  <si>
    <t>Pacto de sangre @Santi_ABASCAL</t>
  </si>
  <si>
    <t>https://pbs.twimg.com/media/DsNVm57WkAABE0p.jpg</t>
  </si>
  <si>
    <t>Uroibero</t>
  </si>
  <si>
    <t>Un placer veros en málaga @vox_es @Ortega_Smith @Santi_ABASCAL #laespañaviva</t>
  </si>
  <si>
    <t>https://pbs.twimg.com/media/DsNOtdBXcAEeXRn.jpg</t>
  </si>
  <si>
    <t>Harto de los enemigos de 🇪🇸 y tanta tontería progre @vox_es la solución</t>
  </si>
  <si>
    <t>Impresionante la acogida de Málaga a @vox_es. Desde luego, hay q votarlos. Son los únicos q defienden la unidad de ESPAÑA y hablan claro. @Santi_ABASCAL eres mi héroe</t>
  </si>
  <si>
    <t>pic.twitter.com/djzSb2ocAR</t>
  </si>
  <si>
    <t>A ver "obreros" de @vox_es ¿que ha hecho VOX alias el "obrero" que nunca trabajó pero cobró buenos salarios del @PPopular alias el partido más corrupto de Europa Don @Santi_ABASCAL el de las pistolas? Pues os ha convertido en carneros para llevaros al matadero.</t>
  </si>
  <si>
    <t>Juan Pablo López</t>
  </si>
  <si>
    <t>Un placer haberme hecho una foto con el futuro presidente de España y de Andalucía @Santi_ABASCAL @vox_es</t>
  </si>
  <si>
    <t>https://pbs.twimg.com/media/DsNMvhgWsAAa-lo.jpg</t>
  </si>
  <si>
    <t>Amante de la música. Real Madrid 13 🏆 Técnico en microinformática y redes.</t>
  </si>
  <si>
    <t>JosemiSanz</t>
  </si>
  <si>
    <t>Es fácil : hay que cerrar grifos monetarios. Todas las asociaciones es abertzales se nutren de dinero de nuestros impuestos . @vox_es @Santi_ABASCAL VOX se ocuparía de cerrar ese grifo. 155 a Catsluńa y cero subvenciones a partidos pro Etarras. RT @rincondelamusa: Si esto es cierto, nuestra sociedad ya es irrecuperable. Ha ganado el odio por goleada. Se ha perdido la razón y el corazón.</t>
  </si>
  <si>
    <t>https://twitter.com/rincondelamusa/status/1063444473798160384
https://twitter.com/inmitadinamita/status/1063115001987244033</t>
  </si>
  <si>
    <t>Cuenca, Ecuador</t>
  </si>
  <si>
    <t>Los islamistas, que siembran el terror en toda Europa, se apoyan en la complicidad de la izquierda y la cobardía de la derechita. Gravísimo: el gobierno renuncia a defender a los españoles.</t>
  </si>
  <si>
    <t>https://www.20minutos.es/noticia/3494358/0/interior-perdona-iman-zuera-expulsado-relacionar-atentados-cataluna-misiones-exterior/</t>
  </si>
  <si>
    <t>EranTh Red Hair</t>
  </si>
  <si>
    <t>He estado en el acto público de @vox_es @vox_malaga con @Santi_ABASCAL y @Ortega_Smith y pelos como escarpia con sus discursos, lo que pensamos los españoles plasmado en palabras</t>
  </si>
  <si>
    <t>Poseidon Energy</t>
  </si>
  <si>
    <t>Lvl 26, Gamer, cosplayer, deportista, friki. No confundas mi actitud con mi personalidad, mi personalidad es quien soy yo, mi actitud depende de quien seas tu</t>
  </si>
  <si>
    <t>https://instagram.com/eranth_red/</t>
  </si>
  <si>
    <t>🤣🤣🤣 Como un niño cuando le pillan una mentira !!! @laSextaTV @DebatAlRojoVivo @Santi_ABASCAL @_anapastor_  RT @periodistadigit: García Ferreras, más cabreado que un mono por las acusaciones de manipulación de Abascal, responde a VOX desde laSexta: "a nosotros la grabación es que nos llegó así"</t>
  </si>
  <si>
    <t>https://www.bing.com/images/search?view=detailV2&amp;ccid=YsoaMSLU&amp;id=A1B5F3620B64492415A34CCE3F32B418522A66FB&amp;thid=OIP.YsoaMSLUM0bZX2xai_SOIwHaE7&amp;mediaurl=http%3a%2f%2fwww.educayaprende.com%2fwp-content%2fuploads%2f2015%2f03%2fNi%25C3%25B1os-que-mienten.jpg&amp;exph=333&amp;expw=500&amp;q=mentiroso+compulsivo&amp;simid=607991205135843660&amp;selectedIndex=32&amp;ajaxhist=0
https://twitter.com/periodistadigit/status/1063436739623219200
http://bit.ly/2zXnGNr</t>
  </si>
  <si>
    <t>okdario</t>
  </si>
  <si>
    <t>ÚLTIMA HORA | Santi Abascal promete en Sevilla jamón y vino en los comedores escolares para molestar a los musulmanes.</t>
  </si>
  <si>
    <t>Rayya</t>
  </si>
  <si>
    <t>Aprovechando su visita a nuestra tierra querríamos saber cómo pretende eliminar el centralismo sevillano, muchas décadas denunciado desde #Málaga y provincias orientales, con un candidato de aquella ciudad. @Santi_ABASCAL</t>
  </si>
  <si>
    <t>Fake news que podrías ver publicadas en cualquier panfleto español. Hemos venido a hacer la competencia a OKdiario, Mediterráneo Digital, la Gaceta, etc. (FAKE)</t>
  </si>
  <si>
    <t>Málaga provincia</t>
  </si>
  <si>
    <t>Fundada en enero de 2009, la Asociación Rayya reclama a los gobernantes que den a Málaga provincia los proyectos y el peso institucional que merece en España.</t>
  </si>
  <si>
    <t>http://www.asociacionrayya.com</t>
  </si>
  <si>
    <t>Sr. @JuanMa_Moreno , le responden con una contundencia irrefutable !!! @COPE @vox_es @Santi_ABASCAL #Templarios RT @Santi_ABASCAL: Si ser antisistema es oponerse a ese sistema en el que os repartís los papeles desde hace 40 años según en el cual unos son los señoritos de la Junta y otros sois los señoritos de la oposición perpetua e inútil....pues seremos orgullosamente antisistema. #AndalucíaPorEspaña #VOX</t>
  </si>
  <si>
    <t>https://twitter.com/Santi_ABASCAL/status/1063748316305985542
https://twitter.com/COPE/status/1063737360762974213</t>
  </si>
  <si>
    <t>Un cargo del PP preside la sección juvenil de @fdenaes, la fundación de @Santi_Abascal. Tanto monta monta tanto.</t>
  </si>
  <si>
    <t>https://www.elplural.com/politica/un-cargo-del-pp-preside-la-seccion-juvenil-de-la-fundacion-de-santiago-abascal_206432102_amp?__twitter_impression=true</t>
  </si>
  <si>
    <t>Luisa C. V.</t>
  </si>
  <si>
    <t>En la Plaza de La Marina, escuchando la voz de personas que aman a #España sin complejos. Podrán tener razón o no, pero tienen todo el derecho a alzar su #Vox sin que nadie les amenace ni les injurie. ¡Viva España! @Santi_ABASCAL @FSerranoCastro @Ortega_S</t>
  </si>
  <si>
    <t>https://pbs.twimg.com/media/DsNA0UGXQAA_u5v.jpg</t>
  </si>
  <si>
    <t>Casada. Madre de cuatro hijos. Lcda. en Derecho. Provida. Trabajando en «las alturas», AMDG. #CorazónDeMaría #TotusTuus #CristoVive</t>
  </si>
  <si>
    <t>Jesús Gutiérrez</t>
  </si>
  <si>
    <t>Dicen "algunos" que votar a @vox_es es "inútil". Que se lo expliquen a los de ERC (9), CDC (8), PNV (5) o EH Bildu (2)... Que, con sólo esos Diputados, son los que verdaderamente mandan en España. #YoQuieroSerElDiputado176 #FelizSabado #FelizFinde @Santi_ABASCAL</t>
  </si>
  <si>
    <t>Clarita</t>
  </si>
  <si>
    <t>Es el momento de ser RESPONSABLES, PENSAR EN ESPAÑA ANTES QUE EN UNO MISMO. HÁGANLO POR USTEDES Y POR TODOS.Gracias. @NNGG_Es @pablocasado_ @DolorsMM @PPSenado @PPAsamblea @ppmadrid @GPPopular @PP_Redes @Santi_ABASCAL @Ortega_Smith @isequiser96 @voxnoticias_es @NoALaIdDeGenero RT @claritasnail: @pedrodehoyos yo pienso que deberían unirse @vox_es y @PPopular pq C's no son de fiar y del resto de partidos q qdan pues los que apoyen a esos 2 si se tienen q unir, q se unan pues solo la unión es la solución cndo tenemos al ENEMIGO ENFRENTE Y LA COSA NO ESTÁ PARA TONTERÍAS</t>
  </si>
  <si>
    <t>https://twitter.com/claritasnail/status/1063757658228969472</t>
  </si>
  <si>
    <t>No soy una gallina, soy un águila.... https://www.youtube.com/watch?v=l-LNVz9ZCPU&amp;t=25s Muchas gracias @padre_sam 💗✝️</t>
  </si>
  <si>
    <t>Nuevo éxito de @vox_es en Málaga. Más de 2.000 personas han llenado la Plaza de la Marina de la capital malagueña. En Podemos ya miran con envidia los actos del partido de @Santi_ABASCAL</t>
  </si>
  <si>
    <t>https://casoaislado.com/podemos-mira-con-envidia-los-actos-de-vox-mas-de-2-000-personas-acuden-al-celebrado-en-malaga/</t>
  </si>
  <si>
    <t>Lucía Beatriz MM</t>
  </si>
  <si>
    <t>#IJornadaFormaciónVOX2018 Disfrutando, ahora, de la intervención de un gran catedrático. @vox_es @Santi_ABASCAL</t>
  </si>
  <si>
    <t>https://pbs.twimg.com/media/DsM5PN5X4AA84rx.jpg</t>
  </si>
  <si>
    <t>Política Gobierno Informativos y actualidad Ciencia y Tecnología Artistas internacionales Artistas españoles Prensa Nacional Prensa Cine</t>
  </si>
  <si>
    <t>📹 Así está la Plaza de la Marina de Málaga a 15 minutos de que empiece el acto de campaña con @Santi_ABASCAL, @Ortega_Smith y nuestros candidatos. Andalucía se contagia de fuerza e ilusión. El 2 de diciembre daremos la sorpresa 💪🇪🇸 ✅ Vota VOX, vota #AndalucíaPorEspaña</t>
  </si>
  <si>
    <t>Bertín</t>
  </si>
  <si>
    <t>Hola @Santi_ABASCAL, me encantaría poder comentar con usted esta obra de 2011 del artista madrileño #MateoMaté</t>
  </si>
  <si>
    <t>https://www.mateomate.com/obra/area-restringida/</t>
  </si>
  <si>
    <t>https://pbs.twimg.com/media/DsM3Z1wXgAAS9I1.jpg</t>
  </si>
  <si>
    <t>Me gustan el vino y las mujeres. Soy primo de Ozzy</t>
  </si>
  <si>
    <t>Ayer un ridículo defendía la "coherencia" de santi abascal. El garante de las fuerzas armadas que no hizo la mili. El que dice que el PP "han demostrado ser inútiles 40 años" cuando él ha estado trincando de lo público con ellos casi 20. Qué basura de tío y de partido, joder. RT @vox_es: 📰 VOX replica al PP sobre el voto útil en un multitudinario mitin en Málaga: "Han demostrado ser inútiles 40 años"  vía @libertaddigital</t>
  </si>
  <si>
    <t>🔴📸 Gran acto de campaña en Málaga | Llegada de @Santi_ABASCAL, @Ortega_Smith y nuestros candidatos. Enorme apoyo de la #EspañaViva 🇪🇸 en Plaza de la Marina. Andalucía se contagia de fuerza e ilusión. El 2 de diciembre daremos la sorpresa ✅ Vota VOX, vota #AndalucíaPorEspaña</t>
  </si>
  <si>
    <t>https://pbs.twimg.com/media/DsM3QniXQAAhWu9.jpg</t>
  </si>
  <si>
    <t>Antonio Montilla</t>
  </si>
  <si>
    <t>.@Santi_ABASCAL antes del inicio del mitin de @vox_es en Málaga  #EleccionesAndaluzas #2D</t>
  </si>
  <si>
    <t>https://www.diariosur.es/elecciones/andaluzas/</t>
  </si>
  <si>
    <t>https://pbs.twimg.com/media/DsM2LpXWsAAOE9N.jpg</t>
  </si>
  <si>
    <t>#Periodista del @DiarioSUR (#política, #toros y #CofradiasMLG) Cofrade de @pasoyesperanza. De #Cuevas del Becerro, ahí es 'ná'.</t>
  </si>
  <si>
    <t>Beatriz</t>
  </si>
  <si>
    <t>Tanto insulto sólo tiene una explicación: 'Ladran, luego cabalgais'. Ánimo @vox_es!!!! #FelizSabado @DebatAlRojoVivo @laSextaTV #LaSecta @Santi_ABASCAL RT @vox_es: 📹 Como la manipulación no les funciona, ahora lo intentan mediante el insulto. 📰 El programa 'Al Rojo Vivo' califica a VOX de "idiotas" y describe sus mítines "de pacotilla"  vía @CasoAislado_Es</t>
  </si>
  <si>
    <t>https://twitter.com/vox_es/status/1063405236226797568
https://casoaislado.com/programa-al-rojo-vivo-sigue-ataques-vox-los-llama-idiotas-mitines-pacotilla/</t>
  </si>
  <si>
    <t>pic.twitter.com/LDqsef7lF8</t>
  </si>
  <si>
    <t>Bilbao</t>
  </si>
  <si>
    <t>Cuando soy buena, soy muy buena; cuando soy mala, soy mucho mejor. #Española y #vasca. Muy fan de #Tabarnia</t>
  </si>
  <si>
    <t>La foto bien podría estar sacada de un paciente aficionado que espera escuchar a Camarón o ver torear a Morante, pero no, está reciente de Málaga y el buen hombre está esperando escuchar a @Santi_ABASCAL , alguna verdad escuchará hoy...</t>
  </si>
  <si>
    <t>https://pbs.twimg.com/media/DsMzW4TXgAAlouL.jpg</t>
  </si>
  <si>
    <t>Esto es solo Málaga @vox_es @Santi_ABASCAL #AndalucíaPorEspaña</t>
  </si>
  <si>
    <t>https://pbs.twimg.com/media/DsMzJYpWwAAaRCG.jpg</t>
  </si>
  <si>
    <t>Málaga calentando motores para escuchar a @Santi_ABASCAL #EleccionesAndalucía ¡Vaaaaaaaaaamoooooooossss, @vox_es! 💪🏻🇪🇸</t>
  </si>
  <si>
    <t>https://pbs.twimg.com/media/DsMyvjKXQAEeTmH.jpg</t>
  </si>
  <si>
    <t>Daniel Carretero</t>
  </si>
  <si>
    <t>#Fachas en Acción @vox_malaga @Santi_ABASCAL</t>
  </si>
  <si>
    <t>pic.twitter.com/Bdfwdvjuhy</t>
  </si>
  <si>
    <t>Periodista.</t>
  </si>
  <si>
    <t>A punto de comenzar el mitin de @vox_es con @Santi_ABASCAL en Málaga  #EleccionesAndaluzas #2D</t>
  </si>
  <si>
    <t>https://pbs.twimg.com/media/DsMxGkmWkAAFwbh.jpg</t>
  </si>
  <si>
    <t>El público sigue llegando al# mitin @vox_es en Málaga con @Santi_ABASCAL  elecciones/andaluzas/ #EleccionesAndaluzas #2D</t>
  </si>
  <si>
    <t>http://diariosur.es</t>
  </si>
  <si>
    <t>https://pbs.twimg.com/media/DsMtOv6WsAAHcur.jpg</t>
  </si>
  <si>
    <t>ClavedeSole</t>
  </si>
  <si>
    <t>#Vox coloniza @forocoches: uno de cada diez debates trata sobre el partido de @Santi_ABASCAL  vía @voz_populi</t>
  </si>
  <si>
    <t>https://www.vozpopuli.com/_46fffdde</t>
  </si>
  <si>
    <t>La batalla contra la mediocridad y el amor al prójimo cada dia se transforma en un nuevo reto En busca de la excelencia. La Sociedad Civil organizada otra tarea</t>
  </si>
  <si>
    <t>Manel Medina</t>
  </si>
  <si>
    <t>Imaginad que viene una raza extraterrestre en busca de vida inteligente y el primer ser humano que se encuentran es Santi Abascal.</t>
  </si>
  <si>
    <t>Samukxk</t>
  </si>
  <si>
    <t>Aquí estamos Viva España @vox_es @vox_malaga @Santi_ABASCAL</t>
  </si>
  <si>
    <t>https://pbs.twimg.com/media/DsMpfcgW0AAUGV1.jpg</t>
  </si>
  <si>
    <t>Ningún ser humano es inferior a otro. Ser apolítico es ser facha. Feminista en el corazón luchando contra el machismo que me inculcaron. Amante de los felinos.</t>
  </si>
  <si>
    <t>https://www.youtube.com/channel/UClyJN-FNTY4LvrCTQS7_s0A</t>
  </si>
  <si>
    <t>Presidente SANTI ABASCAL de VOX. ... VIVA ESPAÑA UNIDA</t>
  </si>
  <si>
    <t>Haba.Tar🇪🇸</t>
  </si>
  <si>
    <t>Más de tres mil cuatro cientos likes a un twitt de @Santi_ABASCAL... Yo no digo na... RT @Santi_ABASCAL: Esto es lo que pasa cuando un partido traiciona a España y da la espalda a los españoles 🇪🇸💪🏻</t>
  </si>
  <si>
    <t>pic.twitter.com/Czjr5xdh0D</t>
  </si>
  <si>
    <t>https://twitter.com/Santi_ABASCAL/status/1063505040206368768
https://twitter.com/raqueltejero_/status/1063501621953478656</t>
  </si>
  <si>
    <t>Cadiz</t>
  </si>
  <si>
    <t>motor</t>
  </si>
  <si>
    <t>Español ojiplático con lo que ocurre en mi país y en el resto de mi planeta...</t>
  </si>
  <si>
    <t>Preparativos mitin @vox_es en Málaga con @Santi_ABASCAL  elecciones/andaluzas/ #EleccionesAndaluzas #2D</t>
  </si>
  <si>
    <t>https://www.diariosur.es/</t>
  </si>
  <si>
    <t>https://pbs.twimg.com/media/DsMoPU9WsAAzU45.jpg</t>
  </si>
  <si>
    <t>luis lopez</t>
  </si>
  <si>
    <t>No sabía que @Santi_ABASCAL tenía un megachalet con piscina y casa de invitados de más de 600000 € financiado gratis y con puerta de 6000 €. Ni que fuera poniendo de número 2 del partido a todas sus parejas. Personalmente creo que son lo más opuesto: honradez frente hipocresía RT @Santi_ABASCAL: Con la diferencia, como mínimo, de que yo soy seré leal a España 😉</t>
  </si>
  <si>
    <t>mis conocimientos son tan pocos que no me atrevo a exigirle a nadie que haga lo mismo que yo ni a prohibirle lo que a mí no me gusta</t>
  </si>
  <si>
    <t>Leandro #Clanero</t>
  </si>
  <si>
    <t>La izquierda quiere repetir lo de Murcia contra VOX en Chiclana de la Frontera (Cádiz).  @vox_es @Santi_ABASCAL</t>
  </si>
  <si>
    <t>https://elmetropolitanodemadrid.blogspot.com/2018/11/la-izquierda-quiere-repetir-lo-de.html?m=1</t>
  </si>
  <si>
    <t>YouTuber con muchas ganas de que os lo paséis bien :3 ♡♡♢♧+100SUBS https://www.youtube.com/channel/UC5hmM230u7wyYc8TAIjAI8A</t>
  </si>
  <si>
    <t>MEMES INDEPENDENTISTAS SEGOVIANOS</t>
  </si>
  <si>
    <t>Creo que que @ierrejon se ha equivocado de partido, comentarios como este son tipicos de @vox_es , Iñigo, no seras santi abascal con careta, no??? RT @mejoreszasca: Zasca!!!!!!!!! de @FonsiLoaiza a @samuevano @Mijat8vic_</t>
  </si>
  <si>
    <t>Repasito muy bueno de #FedericoJimenezLoSantos a una gaviota del @PPopular #VotaGarantíaDeCambio es el momento del voto útil con @vox_es #AndaluciaPorEspaña 🇪🇸✌🏻 @Santi_ABASCAL @ivanedlm @Ortega_Smith @monasterioR @FSerranoCastro RT @vox_es: 📺 En VOX consideramos que las autonomías suponen un despilfarro y generan división y desigualdad entre los españoles. ✅ Por eso nuestro objetivo final es #FueraAutonomías Empezaremos exigiendo la devolución de las competencias de Educación, Sanidad, Justicia y Seguridad.</t>
  </si>
  <si>
    <t>https://twitter.com/mejoreszasca/status/1064091573498114049</t>
  </si>
  <si>
    <t>https://pbs.twimg.com/media/DsRppI1WwAA59MH.jpg</t>
  </si>
  <si>
    <t>https://twitter.com/vox_es/status/1063470773728407552</t>
  </si>
  <si>
    <t>Comunidad Autonoma de Segovia</t>
  </si>
  <si>
    <t>Referendum de independencia YA, por una Comunidad Autonoma Segoviana.</t>
  </si>
  <si>
    <t>pic.twitter.com/zMYLBVBNus</t>
  </si>
  <si>
    <t>VOX concentra en Málaga a más de 3.000 personas en una nueva demostración de la fuerza imparable de la #EspañaViva #AndalucíaPorEspaña #VotaVOX #VOX</t>
  </si>
  <si>
    <t>Paco B</t>
  </si>
  <si>
    <t>Este despojo imagino que se autodenominará antifascista. Debe ser el más listo del barrio y habrá chusma que le ría las gracias. Por supuesto @TwitterEspana preferirá cerrar antes la cuenta de @ldpsincomplejos o de @Santi_ABASCAL o de @hermanntertsch que la de odiadores natos. RT @IosuBilbao: Antes de conocer realmente a #OrtegaLara consideraba atroz su secuestro. Hoy lo que compruebo atroz es su liberación.</t>
  </si>
  <si>
    <t>pic.twitter.com/jpwJQ5HP1u</t>
  </si>
  <si>
    <t>Pyrénées</t>
  </si>
  <si>
    <t>Waiting for the sun</t>
  </si>
  <si>
    <t>Andrés Fernández</t>
  </si>
  <si>
    <t>No compare señora!! Equiparar @Santi_ABASCAL con @Pablo_Iglesias_ es como querer comparar al Cid con Bellido Dolfos ó a Guzmán el Bueno con el Conde D.Julián. Espero qué sepa quienes son esos personajes históricos, sino es así lea un buen libro de historia no la Wikipedia. RT @carmentorrres: Por mucho que les moleste a los dos, a mí este auge de @vox_es me recuerda mucho al origen de @ahorapodemos y la figura de @Santi_ABASCAL a la del primer @Pablo_Iglesias_, rollo superstar para sus fans</t>
  </si>
  <si>
    <t>Enamorado de la antiguedad. mi lema - SI VIS PACEM PARA BELLUM.</t>
  </si>
  <si>
    <t>Francisco José Rubio</t>
  </si>
  <si>
    <t>#Ferreras se baja los pantalones ante @vox_es y @Santi_ABASCAL RT @GuajeSalvaje: Ha calado el discurso populista de que todo a su derecha es fascismo. Por eso Ferreras, en vez de disculparse por la emisión incompleta y tendenciosa de un vídeo, encima se pone chulito. ¿Cuántas más "noticias" han dado o darán de forma sesgada o manipulada como si fueran reales?</t>
  </si>
  <si>
    <t>https://twitter.com/GuajeSalvaje/status/1063447370824847361</t>
  </si>
  <si>
    <t>pic.twitter.com/pCP66CeZKk</t>
  </si>
  <si>
    <t>¿Quién dice la gente que soy yo?</t>
  </si>
  <si>
    <t>Consumidor</t>
  </si>
  <si>
    <t>Aquí hay un médico del Servicio Andaluz de Salud (empleado de @AndaluciaJunta) diciendo que va a atentar contra el mitin de @vox_es @vox_malaga @Santi_ABASCAL @Ortega_Smith. Habría que hacer algo @policia @guardiacivil no? @okdiario @libertaddigital @abc_es @larazon_es</t>
  </si>
  <si>
    <t>https://pbs.twimg.com/media/DsMUPzxXQAALhuA.jpg</t>
  </si>
  <si>
    <t>Joseph Von Flusstal</t>
  </si>
  <si>
    <t>"¡Queremos comer jamón en nuestros colegios!" Santi Abascal sintiendo la gusilla que produce horas de liderazgo implacable.</t>
  </si>
  <si>
    <t>Cansado de que el cliente nunca tenga la razón. Intentaremos dar repercusión a los abusos que se cometen contra los usuarios.</t>
  </si>
  <si>
    <t>Kurukulullo, Ohio</t>
  </si>
  <si>
    <t>Nuestro genio es la ofensiva, y tomando la ofensiva es como venceremos, Hulio</t>
  </si>
  <si>
    <t>http://librodenotas.com/losanalesperdidos/</t>
  </si>
  <si>
    <t>El Caballero Oscuro</t>
  </si>
  <si>
    <t>La ultraizquierda anda llorando por las esquinas, buen síntoma @Santi_ABASCAL Nachete escolar "piriodismi a pisir di tidi" RT @eldiarioes: ✍🏼 OPINIÓN | Lo que supone el ascenso de Vox  Por @iescolar</t>
  </si>
  <si>
    <t>https://twitter.com/eldiarioes/status/1063335542438404096
https://www.eldiario.es/escolar/supone-ascenso-Vox_6_836126415.html</t>
  </si>
  <si>
    <t>https://pbs.twimg.com/media/DsG6CN5W0AE3SkY.jpg</t>
  </si>
  <si>
    <t>Gotham</t>
  </si>
  <si>
    <t>Como hombre soy de carne y hueso.Puedo ser ignorado.Puedo ser destruido.Pero como símbolo soy incorruptible y soy eterno.</t>
  </si>
  <si>
    <t>Francisco Nunes</t>
  </si>
  <si>
    <t>Y aquí tenemos a @Santi_ABASCAL con una frase que fácilmente podría decir @Pablo_Iglesias_ sustituyendo "Patria" por "Estado de Bienestar". En el Instagram de VOX.</t>
  </si>
  <si>
    <t>https://pbs.twimg.com/media/DsMSLiMWsAITPt6.jpg</t>
  </si>
  <si>
    <t>Freedom | CEO @apolopost | Columnista @ElNacionalWeb | @Disidentia | @PanAmPost_es | Cocreador @FuerzaLiberalEs fjnd00@gmail.com</t>
  </si>
  <si>
    <t>http://apolopost.com</t>
  </si>
  <si>
    <t>Buen desayuno, y directo a la Plaza de la Marina con mi banderón de España 🇪🇸, porque somos lo #EspanaViva la #Españaquemadruga . @vox_es @Santi_ABASCAL @Ortega_Smith</t>
  </si>
  <si>
    <t>Natalia Lópezazc</t>
  </si>
  <si>
    <t>"La España Viva" con @Santi_ABASCAL y @Ortega_Smith . El próximo Lunes 19 a las 19:30 h en el Pico de Oro- Chiclana de la Frontera (Cádiz)</t>
  </si>
  <si>
    <t>https://pbs.twimg.com/media/DsMKBF6WsAAbWoc.jpg</t>
  </si>
  <si>
    <t>Chiclana de la Frontera (Cadiz</t>
  </si>
  <si>
    <t>Enfermera, madre y esposa. Vox</t>
  </si>
  <si>
    <t>@reyesromero_V</t>
  </si>
  <si>
    <t>.@carmencarbo No sólo llenó #VOX ayer en #Almería. En #Sevilla @Santi_ABASCAL en un encuentro con los jóvenes de @canasporespana @ldpsincomplejos</t>
  </si>
  <si>
    <t>https://pbs.twimg.com/media/DsL_DBqWsAE75Jj.jpg</t>
  </si>
  <si>
    <t>He llegado a la política por patriotismo y por una cuestión de conciencia..#VOX</t>
  </si>
  <si>
    <t>Los 20 tuits más RTs de @albanodante76 @gabrielrufian @gallifantes @santi_abascal @abrazopartio @rosadiezglez @krls @tonicanto1 @toni_comin @juralde @ionebelarra @vickyrosell @franciscoigea @pmanglano el viernes 16 de noviembre</t>
  </si>
  <si>
    <t>https://twitter.com/trendinaliaES/timelines/1063675360422715393</t>
  </si>
  <si>
    <t>Diego Mateo</t>
  </si>
  <si>
    <t>Tras su escandaloso ridículo en las redes sociales, Ferreras , @DebatAlRojoVivo y la @laSextaTV se ven obligados a poner el corte completo de la intervención de @Santi_ABASCAL en Murcia. Cada vez se lo ponemos más difícil. #ManipulaciónInformativa @vox_es #LaSecta #FelizFinde</t>
  </si>
  <si>
    <t>https://pbs.twimg.com/media/DsLw7RMWwAAusfU.jpg</t>
  </si>
  <si>
    <t>Sí, pero yo soy el Presidente.</t>
  </si>
  <si>
    <t>Más comentados ahora en Cataluña/Catalanismo: ➀ @InesArrimadas ↑↑ ➁ @Aracelisegarra ↑ ➂ @jcanadellb ↑ ➃ @ramoncotarelo ↑ ➄ @gabrielrufian ↑↑ ➅ @culebra1978 ↑ ➆ @pablocasado_ ↑ ➇ @Santi_ABASCAL ↑ ➈ @NoeMartri</t>
  </si>
  <si>
    <t>Más comentados ahora en Cataluña/Catalanismo: ➀ @jcanadellb ↓ ➁ @InesArrimadas ↓ ➂ @Aracelisegarra ↓↓ ➃ @pablocasado_ ↑ ➄ @JORDINADOR ↑ ➅ @Albert_Rivera ↑ ➆ @Santi_ABASCAL ↑ ➇ @salutcat ↑ ➈ @raulmorenom ↑</t>
  </si>
  <si>
    <t>TheCormental</t>
  </si>
  <si>
    <t>Alberto Crespo</t>
  </si>
  <si>
    <t>El día estaba yendo sobre ruedas gracias a @JuanalaLoca y @RubénCastroale, hasta que me ha tocado aguantar a una tarada que no para de llamar nazi a @Santi_ABASCAL</t>
  </si>
  <si>
    <t>Cada vez mas cerca de mis objetivos ! M.J. DO IT WITH L.O.V.E.</t>
  </si>
  <si>
    <t>https://www.instagram.com/crisnpatience/</t>
  </si>
  <si>
    <t>Hijo de mi madre'</t>
  </si>
  <si>
    <t>LA ESPAÑA VIVA DE PODEMOS AHORA VOTA VOX, ADELANTE ANDALUCES, ADELANTE ESPAÑOLES AL CUADRADO @pablocasado_ @Pablo_Iglesias_ @elmorenopepero @Juan_A_Morales @ahorapodemos @PPdeSevilla @PPmerino @PPMalaga @Santi_ABASCAL #VOXGanaAndalucia #AndaluciaPorEspaña RT @vox_es: 📣🇪🇸 Al mismo tiempo, la #EspañaViva llena el acto de VOX en El Ejido (Almería). Más de 1000 personas han acudido para escuchar las propuestas de VOX para Andalucía con @Ortega_Smith y @FSerranoCastro</t>
  </si>
  <si>
    <t>https://twitter.com/vox_es/status/1063582217945972738</t>
  </si>
  <si>
    <t>https://pbs.twimg.com/media/DsKaWGvW0AAJGQQ.jpg</t>
  </si>
  <si>
    <t>http://www.periodistadigital.com/periodismo/tv/2018/11/15/abascal-estalla-y-emite-un-demoledor-video-contra-ferreras-y-la-manipulacion-de-lasexta.shtml</t>
  </si>
  <si>
    <t>Juan Alberto 🤦🏼‍♂️</t>
  </si>
  <si>
    <t>Madre mía, es que no se cortan un pelo 😂 les ha faltado meter a una pareja homosexual y llamarlo “depravación, a fusilarlos” y a alguna mujer luchando por la igualdad y llamarlo “incoherencia, las mujeres a fraguar y cocinar” Dais mucho asco y vergüenza @vox_es @Santi_ABASCAL RT @Santi_ABASCAL: Andalucía, como en sus mejores tiempos, volverá a hacer historia para España. #AndalucíaPorEspaña entregará a VOX las llaves de San Telmo para echar a los señoritos de la Junta tras cuarenta años de corrupción, clientelismo y víctimismo autonómico. #VotaVOX</t>
  </si>
  <si>
    <t>https://twitter.com/santi_abascal/status/1063237725107695616</t>
  </si>
  <si>
    <t>pic.twitter.com/FYT4WXgYsR</t>
  </si>
  <si>
    <t>https://m.facebook.com/profile.php?id=1402370343348716</t>
  </si>
  <si>
    <t>ADELANTE ANDALUCES, ADELANTE ESPAÑOLES AL CUADRADO, ANDALUCIA POR ESPAÑA @pablocasado_ @Pablo_Iglesias_ @iescolar @PPdeSevilla @Santi_ABASCAL @monasterioR @eslatarde @elmorenopepero @VOXSevilla @vox_malaga #VOXGanaAndalucia #AndaluciaPorEspana #VotaVOX RT @vox_es: 📣🇪🇸 Al mismo tiempo, la #EspañaViva llena el acto de VOX en El Ejido (Almería). Más de 1000 personas han acudido para escuchar las propuestas de VOX para Andalucía con @Ortega_Smith y @FSerranoCastro</t>
  </si>
  <si>
    <t>MAGA Morty</t>
  </si>
  <si>
    <t>Lo repito, soy el ser humano más pro @Santi_ABASCAL de hispanoamerica RT @CartagoMemes:</t>
  </si>
  <si>
    <t>https://twitter.com/CartagoMemes/status/1063487275550613504</t>
  </si>
  <si>
    <t>https://pbs.twimg.com/media/DsJECQjWwAAWVe5.jpg</t>
  </si>
  <si>
    <t>Peronia</t>
  </si>
  <si>
    <t>ᴠɪʀᴛᴜᴛɪ ᴇᴛ ᴍᴇʀɪᴛᴏ</t>
  </si>
  <si>
    <t>https://twitter.com/cruzdelsurce</t>
  </si>
  <si>
    <t>Pablo Caparrós</t>
  </si>
  <si>
    <t>SOY ESPAÑOL  vía @YouTube @Santi_ABASCAL @monasterioR @Ortega_Smith</t>
  </si>
  <si>
    <t>https://youtu.be/iQRpxMZqFlQ</t>
  </si>
  <si>
    <t>Volverá a reír la primavera.🇪🇸 Paz si respetas. Guerra si odias. Mira la vida como niño, y verás la verdad.</t>
  </si>
  <si>
    <t>📣🇪🇸 La #EspañaViva más joven (más de 400) se ha movilizado hoy en Sevilla en un acto de @canasporespana con @Santi_ABASCAL 🗨️ "Las personas obreras, de clase media, las personas que tienen más dificultades en el día a día son los que más necesitan a la Patria" 💪🏻🇪🇸</t>
  </si>
  <si>
    <t>https://pbs.twimg.com/media/DsKaUEcW0AA8utZ.jpg</t>
  </si>
  <si>
    <t>¿Tienes plan para el sábado por la mañana? Te lo ponemos fácil, Plaza de la Marina 12 horas @Santi_ABASCAL @Ortega_Smith @FSerranoCastro @molto_garcia la #EspañaViva se reúne en Málaga para exponer sus propuestas, cara al #2D #AndalucíaPorEspaña #VotaVOX No faltes!!!</t>
  </si>
  <si>
    <t>https://pbs.twimg.com/media/DsKQOFxXgAc12C-.jpg</t>
  </si>
  <si>
    <t>Bene Dicto</t>
  </si>
  <si>
    <t>Si te molesta más el discurso de unidad nacional de @Santi_ABASCAL que el discurso separatista, amenazante e hispanófobo de @ArnaldoOtegi , es que no sabes distinguir entre el bien y el mal</t>
  </si>
  <si>
    <t>Sanlúcar de Barrameda, España</t>
  </si>
  <si>
    <t>Español. Antipodemoide y contra el marxismo cultural. #TeamFacha</t>
  </si>
  <si>
    <t>Kike</t>
  </si>
  <si>
    <t>Este twitt lo he repetido hasta la saciedad , desde 2015 y lo vuelvo a decir !!! Para cuando @Santi_ABASCAL en la @SextaNocheTV ??</t>
  </si>
  <si>
    <t>El CIS dice que VOX sacará escaño por ALMERIA, @GAD3_com dice que VOX lo sacará por CÁDIZ, y otras dos empresas encuestadoras indican que VOX entrará por SEVILLA y MÁLAGA y que tiene opción en GRANADA. ¿No será que al final vamos a entrar por todas partes?😉 #AndalucíaPorEspaña</t>
  </si>
  <si>
    <t>Empresario,técnico financiero,padre de familia,almeriense con ganas de que se haga buena politica, ex secretario general VOX en Almeria y candidato a municipio.</t>
  </si>
  <si>
    <t>http://www.recasesores.com</t>
  </si>
  <si>
    <t>VOX Cartagena</t>
  </si>
  <si>
    <t>Rueda de prensa previa al acto de la #EspañaViva en Murcia, realizada por @Santi_ABASCAL</t>
  </si>
  <si>
    <t>Cuenta Oficial de Vox en Cartagena. El partido de los valores. #VOXÚtil #EspañaViva Contacto: info@voxcartagena.es Horario Sede: LMJV: 18-20 H. X: 11-13 H.</t>
  </si>
  <si>
    <t>http://voxcartagena.es</t>
  </si>
  <si>
    <t>T.Wildfree</t>
  </si>
  <si>
    <t>Si Ferreras tiene que poner de mala gana el vídeo de @Santi_ABASCAL es porque en la sexta han quedado pésimamente mal. Hasta la gente de izquierdas les ha culpado de manipulación burda La manipulación de la prensa contra @vox_es es descarada y la gente lo sabe, ahora más aún RT @alonso_dm: Ferreras cede y emite a regañadientes la declaración completa de Abascal sobre plantar cara a los antisistema.</t>
  </si>
  <si>
    <t>https://twitter.com/alonso_dm/status/1063560258088513539</t>
  </si>
  <si>
    <t>pic.twitter.com/XtJVrlDSZR</t>
  </si>
  <si>
    <t>I’m just Based</t>
  </si>
  <si>
    <t>Javier Martinez</t>
  </si>
  <si>
    <t>🔴 Habéis visto el vídeo de @Santi_ABASCAL montando a caballo? Pues @pablocasado_ como siempre copiando...</t>
  </si>
  <si>
    <t>https://pbs.twimg.com/media/DsKFH6wWoAACJv_.jpg</t>
  </si>
  <si>
    <t>Burgos, España</t>
  </si>
  <si>
    <t>#NoMeRindo</t>
  </si>
  <si>
    <t>Cuando unos desdichados amenazan a @vox_es @Santi_ABASCAL y demás compañeros en #murcia gritando, que os haremos lo mismo que en #paracuellos, significa que en este país sus dirigentes políticos, no han hecho bien su trabajo.</t>
  </si>
  <si>
    <t>VOX Espartinas</t>
  </si>
  <si>
    <t>"Seguid siendo leales a España y a vuestros padres, que os han enseñado el amor por vuestra patria" Cuenta con ello @Santi_ABASCAL RT @canasporespana: 📸 Los jóvenes andaluces desbordan las Cañas en Sevilla para escuchar a @Santi_ABASCAL el día que da comienzo la campaña para las #EleccionesAndaluzas. 🗨️«Os animo a que sigáis siendo leales a España y a vuestros padres, a lo que os han enseñado, al amor por vuestra patria» 💪🏻🇪🇸</t>
  </si>
  <si>
    <t>https://twitter.com/canasporespana/status/1063521608978055169</t>
  </si>
  <si>
    <t>https://pbs.twimg.com/media/DsJjNp5XgAA6voV.jpg</t>
  </si>
  <si>
    <t>Espartinas, España</t>
  </si>
  <si>
    <t>Puedes creer en VOX: ¡Es posible una España Grande otra vez!, 🇪🇸</t>
  </si>
  <si>
    <t>Más comentados ahora en Cataluña/Catalanismo: ➀ @jcanadellb ↓ ➁ @InesArrimadas ↓ ➂ @Aracelisegarra ↓ ➃ @ramoncotarelo ↑ ➄ @pablocasado_ ↓ ➅ @Santi_ABASCAL ↓ ➆ @Albert_Rivera ↓ ➇ @culebra1978 ↑ ➈ @PPopular ↑</t>
  </si>
  <si>
    <t>Aguavientoysal</t>
  </si>
  <si>
    <t>Debe ser un orgullo verse señalado por esta secta disfrazada de televisión que es @laSextaTV . Enhorabuena y seguid asi @Santi_ABASCAL @vox_es RT @marubimo: El enésimo acto de manipulación del vertedero mediático de LA SECTA 📽️</t>
  </si>
  <si>
    <t>https://twitter.com/marubimo/status/1063411934559694850</t>
  </si>
  <si>
    <t>pic.twitter.com/Sboe5mrIPD</t>
  </si>
  <si>
    <t>La Higuerita Marinera (Huelva)</t>
  </si>
  <si>
    <t>Español, madridista y más de Isla que la mojama. Me río de los podemitas y de su culto al líder.</t>
  </si>
  <si>
    <t>VOX Sevilla 🇪🇸</t>
  </si>
  <si>
    <t>#LaCazaTambiénVota @Santi_ABASCAL de la mano de @andaluciacaza el miércoles 21 a las 19h en el Hotel NH Collection, Sevilla. #UnaApuestaPorLaCaza RT @andaluciacaza: #LaCazaTambiénVota celebrará un acto público con @vox_es el próximo miércoles en #Sevilla en el que solicitaremos a @Santi_ABASCAL su adhesión a #UnaApuestaPorLaCaza:</t>
  </si>
  <si>
    <t>https://twitter.com/andaluciacaza/status/1063404107766079488
http://ow.ly/RjtV30mDOTa</t>
  </si>
  <si>
    <t>https://pbs.twimg.com/media/DsH4ZUrX4AIwovk.jpg</t>
  </si>
  <si>
    <t>info@sevilla.voxespana.es</t>
  </si>
  <si>
    <t>Cuenta oficial de @vox_es en Sevilla. Por la libertad, la unidad de España y la regeneración democrática. Avda/Luis de Morales, 20 📱 660328996</t>
  </si>
  <si>
    <t>http://www.voxespana.es/sevilla</t>
  </si>
  <si>
    <t>pegaso fantasma</t>
  </si>
  <si>
    <t>La secta sigue con si miserable forma de periodismo. El otro dia con @Santi_ABASCAL Ahora con esta mierda de titular,dando a entender que han sido compañeros varones, cuando han sido exclusivamente chicas ¿y vosotros os haceis llamar periodistas @laSextaTV? Lenguaje inclusivo... RT @laSextaTV: Una menor se queda estéril tras una brutal paliza de tres horas por parte de sus compañeros de clase</t>
  </si>
  <si>
    <t>https://twitter.com/laSextaTV/status/1063178578697875456
http://atres.red/ubs794</t>
  </si>
  <si>
    <t>camionero ante todo. de almeria pero viviendo en un lugar llamado mundo siempre sobre el asfalto. http://sarcastico.No soy antisocial,soy antigilipollas.Anti-politico</t>
  </si>
  <si>
    <t>@Hispalis</t>
  </si>
  <si>
    <t>Mira @vox_es y @Santi_ABASCAL que os recuerda...??? Ganaremos... RT @iarsuaga: Ahora mismo en #Cadiz, amenazas e insultos al lado de la conferencia Marxismo, feminismo y #MentirasLGTBI de @AgustinLaje y @NickyMarquez1, organizada por @hazteoir. El @JM_Kichi ha enviado a los matones capitaneados por su Teniente de Alcalde de @ahorapodemos Ana Camelo</t>
  </si>
  <si>
    <t>https://twitter.com/iarsuaga/status/1063511152297168898</t>
  </si>
  <si>
    <t>pic.twitter.com/dNbUqA7mB2</t>
  </si>
  <si>
    <t>👉🏻Cartas al director: Memoria Histórica, las Checas  @gsampolfer @bucker125 @jcamposasensi @MMContesti @paatri_guerrero @vox_es @Santi_ABASCAL @ERIKEO5555 @Ortega_Smith @AzraVox</t>
  </si>
  <si>
    <t>https://www.diaribalear.es/cartas-al-director-memoria-historica-las-checas/</t>
  </si>
  <si>
    <t>Ayer en #Sevilla en el arranque de campaña ante el Palacio de San Telmo junto a @Santi_ABASCAL @monasterioR @Ortega_Smith @FSerranoCastro @faazmani @J_CarlosCastro @VOXSevilla #AndalucíaPorEspaña #EspañaViva 💪🇪🇸</t>
  </si>
  <si>
    <t>https://pbs.twimg.com/media/DsJ4gFhWsAAiFBZ.jpg</t>
  </si>
  <si>
    <t>Manuel Castilla</t>
  </si>
  <si>
    <t>Se acabó votar con la nariz tapada #EspañaViva @vox @CarlosBermejo86 . @Santi_ABASCAL estamos contigo</t>
  </si>
  <si>
    <t>Cortegana-Sevilla</t>
  </si>
  <si>
    <t>El Mayorazgo de Jabugo,S.L.</t>
  </si>
  <si>
    <t>Más comentados hoy en Cataluña/Catalanismo: ➀ @jcanadellb ↓ ➁ @InesArrimadas ↓ ➂ @Aracelisegarra ↑↑↑ ➃ @ramoncotarelo ↑ ➄ @culebra1978 ↑↑ ➅ @Albert_Rivera ↓ ➆ @pablocasado_ ↓ ➇ @Santi_ABASCAL ↓ ➈ @NoeMartri ↑ ➉ @PSOE ↓</t>
  </si>
  <si>
    <t>https://pbs.twimg.com/media/DsJ1aRlXcAEFIvB.jpg</t>
  </si>
  <si>
    <t>TROMPETA..7⏳</t>
  </si>
  <si>
    <t>💥"Fuera AUTONOMÍAS y GIBRALTAR ESPAÑOL" 💥así empieza SANTI ABASCAL (VOX) su mitin en CÁDIZ</t>
  </si>
  <si>
    <t>https://www.youtube.com/attribution_link?a=gr43B-1NDZc&amp;u=%2Fwatch%3Fv%3DBQdqDcAqPuE%26feature%3Dshare</t>
  </si>
  <si>
    <t xml:space="preserve">Barcelona. España </t>
  </si>
  <si>
    <t>Nunca lleves tus mejores pantalones cuando salgas a luchar por la paz y la libertad</t>
  </si>
  <si>
    <t>Con @Santi_ABASCAL @Ortega_Smith @FSerranoCastro @CarlosBermejo86 @JacoboBalleMarq @MJGuerra91 @Carmenlunar8 ayer en #Sevilla. La #EspañaViva. Esto no hay quien lo pare</t>
  </si>
  <si>
    <t>https://pbs.twimg.com/media/DsJtz_0WoAEA6OO.jpg</t>
  </si>
  <si>
    <t>Juango&amp;go🇪🇸Tabarnés adoptivo</t>
  </si>
  <si>
    <t>Son pequeños, pero se leen. @vox_es @Santi_ABASCAL @Huelva_Vox suficiente para el andaluz de a pie @SegoviaBrome 🇪🇸👍</t>
  </si>
  <si>
    <t>https://pbs.twimg.com/media/DsJo66eXQAAtFf4.jpg</t>
  </si>
  <si>
    <t>Derechos para los guardias civiles con la mayoritaria y http://decana.Vivo en avda de Tabarnia 155 esq Estremera tiene plazas libres</t>
  </si>
  <si>
    <t>VOX Málaga elecciones autonómicas por Andalucía. Santi Abascal Conde Presidente del Partido Politico VOX. Más de 3.500 malagueñ@s en Plaza de la Marina.</t>
  </si>
  <si>
    <t>https://www.instagram.com/p/BqSj5B4AA69/?utm_source=ig_share_sheet&amp;igshid=4mc7okt9iz8n</t>
  </si>
  <si>
    <t>Pat</t>
  </si>
  <si>
    <t>Oye @laSextaTV se os ha caído un trozo de vídeo, os lo dejo entero por aquí, no vaya a ser que incumpláis alguna norma periodística y os acusen de panfleto... por cierto, a cada manipulación vuestra a @vox_es y @Santi_ABASCAL les crece un voto... #NoNosCallarán RT @Santi_ABASCAL: ...y aquí el vídeo sin cortar que la propaganda de guerra de @laSextaTV no ha querido emitir. Sabíamos que ibais a manipularlo sin escrúpulos. 😂😂</t>
  </si>
  <si>
    <t>https://twitter.com/Santi_ABASCAL/status/1063069836908134402</t>
  </si>
  <si>
    <t>pic.twitter.com/iSuzJneP4Y</t>
  </si>
  <si>
    <t>España 🇪🇸🇪🇸</t>
  </si>
  <si>
    <t>No me toques los tacones... sólo creo en el ATLETI 🔴⚪️ Conmigo quien quiera, contra mi quien pueda... ESPAÑOLA MUY ESPAÑOLA MUCHO ESPAÑOLA 🇪🇸🇪🇸 ⛔️🎗✊🏼👿</t>
  </si>
  <si>
    <t>ARRIBA VOX CÓRDOBA.. LA TIERRA DEL PINTOR JULIO ROMERO DE TORRES...VIVA VOX Y VIVA ESPAÑA..TODOS A VOTAR A @Santi_ABASCAL RT @VoxCordoba: Comenzamos la campaña electoral en #Córdoba. Nos vemos defendiendo nuestras ideas. #AndaluciaporEspaña #EleccionesAndaluzas</t>
  </si>
  <si>
    <t>https://twitter.com/VoxCordoba/status/1063310150730166273</t>
  </si>
  <si>
    <t>pic.twitter.com/vyR3LWLDdt</t>
  </si>
  <si>
    <t>ME ENCANTA VOX ALEMANIA PARA TODOS LOS ESPAÑOLES RESIDENTES ALLÍ.. Y DEBÉIS LLEVAR A VOX POR TODO EL MUNDO...VIVA NUESTRO CAUDILLO @Santi_ABASCAL ! RT @VoxAlemania: @lunadebenidorm @Santi_ABASCAL Esto ya no lo para ni Arkonada en sus mejores tiempos. Lo mismo que nos pasa en las plazas donde explicamos a la #EspañaViva la #EspañaPorVenir, nos va a pasar en el Parlamento de Andalucía... que nos van a faltar asientos!!! 💚 🇪🇸 💪🏻 #VoxÚtil #VOXAvanza #InVoxWeTrust</t>
  </si>
  <si>
    <t>https://twitter.com/VoxAlemania/status/1063523024954101760</t>
  </si>
  <si>
    <t>Manolomp</t>
  </si>
  <si>
    <t>Mientras @vox_es con @Santi_ABASCAL en cabeza llenan las plazas de toda España en las sedes de @ahorapodemos están en estado #Almodóvar</t>
  </si>
  <si>
    <t>https://pbs.twimg.com/media/DsJlO8iX4AE2uTH.jpg</t>
  </si>
  <si>
    <t>me cago en la bandera república , me cago en todos los lacisnazis , me cago en quien mancille a España , me cago quien no respeta a nuestra fuerzas de segurida.</t>
  </si>
  <si>
    <t>Siempre Brumoso</t>
  </si>
  <si>
    <t>Estoy pensando en votar a @vox_es imagino que primero conseguirán un 10% de los votos, en 4 años el 30% y en 8 años mayoría absoluta. Acto seguido ejecutarán al Rey y proclamarán el Imperio Galáctico, perdón Español y @Santi_ABASCAL será el Emperador. ¡ARRIBA ESPAÑA! ¡COÑO!</t>
  </si>
  <si>
    <t>No me parieron, me cagaron.</t>
  </si>
  <si>
    <t>Miembro del Partido Comunista y líder del Alt-Right. Adalid de Trump y Putin. White &amp; Black Power. Si al hablar no ofendes a nadie me ofendo yo.</t>
  </si>
  <si>
    <t>Otra infamia más del gobierno del doctor Sánchez @vox_es @Santi_ABASCAL @ldpsincomplejos Traición en Gibraltar  vía @libertaddigital</t>
  </si>
  <si>
    <t>https://www.libertaddigital.com/opinion/emilio-campmany/traicion-en-gibraltar-86495/</t>
  </si>
  <si>
    <t>Más comentados ahora en Cataluña/Catalanismo: ➀ @jcanadellb ↑ ➁ @InesArrimadas ↑ ➂ @Aracelisegarra ↓ ➃ @ramoncotarelo ↓ ➄ @pablocasado_ ↓ ➅ @Santi_ABASCAL ↓ ➆ @Albert_Rivera ↓ ➇ @culebra1978 ↓ ➈ @PSOE ↓ ➉ @NoeMartri ↓</t>
  </si>
  <si>
    <t>📸 Los jóvenes andaluces desbordan las Cañas en Sevilla para escuchar a @Santi_ABASCAL el día que da comienzo la campaña para las #EleccionesAndaluzas. 🗨️«Os animo a que sigáis siendo leales a España y a vuestros padres, a lo que os han enseñado, al amor por vuestra patria» 💪🏻🇪🇸</t>
  </si>
  <si>
    <t>La Portavoza 1.0</t>
  </si>
  <si>
    <t>Nos gustaría enseñaros fotos más cercanas y mejores de nuestro ponente de hoy en Cañas por España, Santi Abascal, pero es que no llegamos! ¡Cómo está de viva la chavaleria de España! ¡ESTA ES, LA JUVENTUD DE ESPAÑA! #AndalucíaPorEspaña #EspañaViva @canasporespana @Santi_ABASCAL</t>
  </si>
  <si>
    <t>En Un Lugar De La Mancha</t>
  </si>
  <si>
    <t>https://pbs.twimg.com/media/DsJjGCqXoAAVQXY.jpg</t>
  </si>
  <si>
    <t>Portavoza de Potemos desde 1989. Presidenta de la @Rae en mi tiempo libre.</t>
  </si>
  <si>
    <t>Por mucho que les moleste a los dos, a mí este auge de @vox_es me recuerda mucho al origen de @ahorapodemos y la figura de @Santi_ABASCAL a la del primer @Pablo_Iglesias_, rollo superstar para sus fans</t>
  </si>
  <si>
    <t>Esto se llama MANIPULACIÓN ,todo mi apoyo a Ortega Lara y @Santi_ABASCAL RT @Duelelab: Ana Rosa Quintana en su programa de Telecinco ha acusado a @Santi_ABASCAL de "crispar" en vez de señalar a los violentos podemitas y feministas que amenazaron e insultaron a Ortega Lara y a la gente que acudía al acto de Vox. ¿Qué hemos hecho para merecer estas Televisiones?</t>
  </si>
  <si>
    <t>https://twitter.com/duelelab/status/1063027344368111617</t>
  </si>
  <si>
    <t>R.D.</t>
  </si>
  <si>
    <t>La maniobra de la izquierda para intentar que el resto se dispute "el voto útil" en una guerra entre ellos... @rosadiezglez @Tonicanto1 @UPYD @CiudadanosCs @Albert_Rivera @InesArrimadas @vox_es @Santi_ABASCAL @PPopular @pablocasado_ RT @FrayJosepho: Alfonso Guerra dice que le rechina el sondeo del CIS que da triple empate a PP, Podemos y Cs  vía @diariosur</t>
  </si>
  <si>
    <t>https://twitter.com/frayjosepho/status/1063505702348558336
https://www.diariosur.es/elecciones/andaluzas/alfonso-guerra-dice-20181116131404-nt.html</t>
  </si>
  <si>
    <t>Juan</t>
  </si>
  <si>
    <t>Gilberto Valadez</t>
  </si>
  <si>
    <t>Feliz #DíaInternacionalParaLaTolerancia Menos para @Trump, @jairbolsonaro , Le Pen, Arpaio, @Santi_ABASCAL y por supuesto Juan Dabdou. A esos no por intolerantes.</t>
  </si>
  <si>
    <t>MEXICO</t>
  </si>
  <si>
    <t>Journalist. (Ciudad Sahagun, 1976) Fanático del cine, el rock y el beisbol. Mi pasión es el periodismo.</t>
  </si>
  <si>
    <t>http://prensasincinicos.blogspot.com/</t>
  </si>
  <si>
    <t>Lleno hasta la bandera de @Santi_ABASCAL con los jovenes sevillanos en @canasporespana @vox_es</t>
  </si>
  <si>
    <t>Santi Abascal va a dar jamón en los colegios. De hecho han iniciado conversaciones con Jabugo.</t>
  </si>
  <si>
    <t>https://pbs.twimg.com/media/DsJdmhgWoAIP2Va.jpg</t>
  </si>
  <si>
    <t>https://www.laopiniondemurcia.es/nacional/2018/11/17/vox-defiende-comer-jamon-colegios/973055.html</t>
  </si>
  <si>
    <t>Jóvenes sevillanos preguntan a @Santi_ABASCAL por sus soluciones para #Andalucia</t>
  </si>
  <si>
    <t>pic.twitter.com/PC3NarOAAY</t>
  </si>
  <si>
    <t>Alqadim</t>
  </si>
  <si>
    <t>Santi Abascal el gilipollas. RT @ZassCometro: Santi Abascal "EL ANTISISTEMA" 🤣🤣🤣🤣🤣🤣🤣🤣🤣🤣🤣🤣🤣🤣🤣🤣🤣🤣🤣🤣🤣🤣🤣🤣🤣🤣🤣🤣🤣🤣🤣🤣🤣🤣🤣🤣🤣🤣🤣🤣🤣🤣🤣🤣🤣🤣🤣🤣🤣🤣🤣🤣🤣🤣🤣 Sello de @cunadometro y zasca de @Jjsb441 para @Santi_ABASCAL</t>
  </si>
  <si>
    <t>FORO SEVILLA NUESTRA</t>
  </si>
  <si>
    <t>Gran expectación de muchos jóvenes sevillanos en el encuentro con @Santi_ABASCAL que se está celebrando ahora en el Prado de San Sebastián de #Sevilla. @vox_es @VOXSevilla #AndalucíaPorEspaña</t>
  </si>
  <si>
    <t>https://twitter.com/ZassCometro/status/1063869403362676736</t>
  </si>
  <si>
    <t>https://pbs.twimg.com/media/DsJarmZXQAYKIgm.jpg</t>
  </si>
  <si>
    <t>El Holandés Errante.</t>
  </si>
  <si>
    <t>Pirata zombi, metalman, gamer, reader. LeChuck, sóplame la tinta.</t>
  </si>
  <si>
    <t>Twitter de opinión e información de FORO SEVILLA NUESTRA. Plataforma de ciudadanos libres y pro activos. Síguenos también en Facebook y en nuestro blog.</t>
  </si>
  <si>
    <t>http://forosevillanuestra.blogspot.com</t>
  </si>
  <si>
    <t>LOS DE @vox_es ESTAMOS AGOBIADISIMOS, YA NO CABE TANTÍSIMO PERSONAL EN LAS SALAS DE HOTELES DONDE HACEMOS NUESTROS MÍTINES.. DEBEMOS BUSCAR PLAZAS DE TOROS Y CAMPOS DE FÚTBOL PARA NUESTROS PRÓXIMOS MÍTINES...ARRIBA ESPAÑA Y VIVA VOX Y SU CAUDILLO @Santi_ABASCAL</t>
  </si>
  <si>
    <t>https://pbs.twimg.com/media/DsJXXhOXcAA-9O4.jpg</t>
  </si>
  <si>
    <t>Más comentados ahora en Cataluña/Catalanismo: ➀ @jcanadellb ↓ ➁ @InesArrimadas ↓ ➂ @Aracelisegarra ↑ ➃ @ramoncotarelo ↑ ➄ @culebra1978 ↓ ➅ @NoeMartri ↑ ➆ @pablocasado_ ↑ ➇ @Santi_ABASCAL ↑ ➈ @Marta_Sibina ↑</t>
  </si>
  <si>
    <t>POR FAVOR, @Santi_ABASCAL HABILITAR PLAZAS DE TOROS! Esto es ahora mismo en el ejido, Almería.VOX💪💪🇪🇦🇪🇦LLENAZO, ÉXITO TOTAL, no coge la gente ya, no pueden aparcar en el parking, no cabe más personal dentro, la gente fuera, hay que buscar sitios más grandes, impresionante!</t>
  </si>
  <si>
    <t>https://pbs.twimg.com/media/DsJWTf-WsAYZFWm.jpg</t>
  </si>
  <si>
    <t>YO SÓLO DIGO QUE PARA SALVAR ESPAÑA, TODOS A VOTAR A NUESTRO CAUDILLO @Santi_ABASCAL RT @maledog88: @lunadebenidorm @sanchezcastejon Esto es un desastre. España se hunde por culpa de la luna y Benidorm es elegida presidenta de España. Me voy a construir un refugio en la playa con palmeras y el amor de mi vida me verá salir todas las mañanas. Periodistas digitales.</t>
  </si>
  <si>
    <t>https://twitter.com/maledog88/status/1063504841287315456</t>
  </si>
  <si>
    <t>Disidencia</t>
  </si>
  <si>
    <t>Se ha retirado EEUU. Se está retirando media Europa. Ni Hungría, ni República Checa, Bulgaria, Croacia o Austria ratificarán el pacto. ¿Y España? Es la hora de @Santi_ABASCAL y @vox_es para hacer lo propio, lo que toca, política de grandes. #NoAlPacto</t>
  </si>
  <si>
    <t>https://www.europapress.es/internacional/noticia-onu-acuerda-pacto-gestionar-migracion-global-masiva-20180714074249.html</t>
  </si>
  <si>
    <t>César Fidalgo</t>
  </si>
  <si>
    <t>Ehh yo también tengo una foto a caballo, y lo mio ye un Asturcòn, una raza de pura cepa ibérica. Ponte a temblar Santi Abascal. Ahhhh y la reconquista empezó en Asturies. 😂😂😂</t>
  </si>
  <si>
    <t>En todas partes</t>
  </si>
  <si>
    <t>Somos los rebeldes que castigaban en el cole. Los que se oponen a la verdad y a la mentira, a lo oficial y a lo contrario. Somos el 1%</t>
  </si>
  <si>
    <t>http://disidencia.info</t>
  </si>
  <si>
    <t>https://pbs.twimg.com/media/DsOZSmQXgAELYbQ.jpg</t>
  </si>
  <si>
    <t>Luanco, Asturias.</t>
  </si>
  <si>
    <t>Concejal Grupo Municipal IU-Equo-Convocatoria por Gozón, Asturias. La indiferencia es el lastre de la Historia. ☭</t>
  </si>
  <si>
    <t>https://pbs.twimg.com/media/DsJLk3nXgAAOCQv.jpg</t>
  </si>
  <si>
    <t>¿QUÉ PROPONE @vox_es PARA ESPAÑA? ANÁLISIS Y OPINIÓN DE LAS 100 MEDIDAS EN ESTE VÍDEO (PARTE 3) VAMOS @vox_es!!! @Santi_ABASCAL @monasterioR @Taxitronco @Alfonbay @VoxSalamanca #DiaDelasLibrerias #SomosLaAudiencia16N</t>
  </si>
  <si>
    <t>https://www.youtube.com/watch?v=bzizktj5EG0&amp;index=1&amp;list=PLWj3rMTCrVm8QZNVFhebebrzm-BPZS20J</t>
  </si>
  <si>
    <t>Más comentados ahora en Cataluña/Catalanismo: ➀ @jcanadellb ↑ ➁ @InesArrimadas ↑ ➂ @Aracelisegarra ↑ ➃ @ramoncotarelo ↑ ➄ @JoanTarda ↑↑↑ ➅ @NoeMartri ↑ ➆ @pablocasado_ ↓ ➇ @culebra1978 ↓ ➈ @Santi_ABASCAL ↓</t>
  </si>
  <si>
    <t>Samuel®</t>
  </si>
  <si>
    <t>Ver la manipulación informativa de @laSextaTV con respecto a las palabras de @Santi_ABASCAL es obsceno. Eso escapa a tener una línea editorial. Eso es una estafa a sus propios telespectadores.</t>
  </si>
  <si>
    <t>https://pbs.twimg.com/media/DsI3roVWkAENC15.jpg</t>
  </si>
  <si>
    <t>Región de Murcia, España</t>
  </si>
  <si>
    <t>Lector apasionado y, a veces, escritor. #ElLegadodelosBúhos Ed. Caligrama (disponible en librerías, Amazon, etc.). Pura novela negra y policiaca. 📖</t>
  </si>
  <si>
    <t>https://pginanegra.blogspot.com.es/?m=1</t>
  </si>
  <si>
    <t>🔴 Gran acto público de @vox_es en Málaga mañana a las 12:00 con @Santi_ABASCAL, @Ortega_Smith, @FSerranoCastro y Eugenio Moltó. 📍Plaza de la Marina. ¡Acude con tu bandera! 🇪🇸 #AndalucíaPorEspaña</t>
  </si>
  <si>
    <t>https://pbs.twimg.com/media/DsIzTXsXoAA593S.jpg</t>
  </si>
  <si>
    <t>Juan R Calero Garcia</t>
  </si>
  <si>
    <t>Un partido regionalista en los tiempos de globalización carece de sentido, salvo q se utilice para vendetas personales. Y @Santi_ABASCAL se preguntará , quién es ese tal Jose Gabriel Ruiz? RT @vicentegomez77: @JFGaliano @drh74hopl @diariolaopinion @somosregion @vox_es Decir "querer potenciar el estado autonómico" cuando está demostrado el fracaso absoluto en educación, sanidad y justicia, o admirar las autonomías que son las que han creado más desigualdad y discriminación entre españoles, me parece un despropósito total y absoluto.</t>
  </si>
  <si>
    <t>https://twitter.com/vicentegomez77/status/1063075356847063040</t>
  </si>
  <si>
    <t>Abogado en ejercicio, especializado en derecho societario y bancario. Más globero que ciclista👍</t>
  </si>
  <si>
    <t>http://www.despachocalero.com</t>
  </si>
  <si>
    <t>https://pbs.twimg.com/media/DsIxDBKW0AAXnh_.jpg</t>
  </si>
  <si>
    <t>📹 Anoche @Santi_ABASCAL durante el inicio de campaña en Andalucía ⤵ 🗨 "Los andaluces van a entregar a la #EspañaViva🇪🇸 las llaves de San Telmo con una fuerza muy significativa que va a poder determinar el próximo gobierno" 💪 📢 #AndaluciaPorEspaña #VotaAVOX</t>
  </si>
  <si>
    <t>Charran Español</t>
  </si>
  <si>
    <t>pic.twitter.com/C1DA2h9ayA</t>
  </si>
  <si>
    <t>Lo nuevo: DaniMateoAgain la emprende con Santi_ABASCAL... y salta jjaviervazquez ...</t>
  </si>
  <si>
    <t>Me encanta sobrevolar una España que no sea llevada a la ruina por parte de los partidos de izquierdas.</t>
  </si>
  <si>
    <t>Y digo yo... ¿no se puede denunciar la designación del Presidente del CGPJ por ser contraria a la Ley Orgánica del Poder Judicial? @Tonicanto1 @Santi_ABASCAL @rosadiezglez @Albert_Rivera @vox_es @CiudadanosCs RT @aparachiqui: Con respeto al compareciente me permito colgar la respuesta sobre qué opinión le merece que la elección de Marchena ya esté predederminada por PP, PSOE y Podemos. Ha dicho literalmente que no se quiere meter y que compete a otros poderes. Contradice literalmente el art. 586 LOPJ</t>
  </si>
  <si>
    <t>https://twitter.com/aparachiqui/status/1063372218535694342</t>
  </si>
  <si>
    <t>pic.twitter.com/ohchT6OOtO</t>
  </si>
  <si>
    <t>La Fed. Andaluza de Caza, dentro de su campaña #LaCazaTambiénVota, celebrará un acto público, en el que participará nuestro Presidente Santi Abascal. Miércoles 21 a las 19h en NH Collection, Sevilla. @Santi_ABASCAL @CazaAndalucia @andalucia_caza @JOCANcaza @CAZA_ANDALUCIA</t>
  </si>
  <si>
    <t>ESdiario</t>
  </si>
  <si>
    <t>Lo nuevo: @DaniMateoAgain la emprende con @Santi_ABASCAL... y salta @jjaviervazquez ...</t>
  </si>
  <si>
    <t>Son lo mismo que ISIS. asesinar a los que no piensan como ellos. La ley de la selva. No tienen futuro. La humanidad tiende a no aceptar esos delirios. Viva VOX por una España viva y unida sin corrupción y sin traidores. @FJL_EsRadio @Ortega_Smith @Santi_ABASCAL @monasterioR RT @er_9569: Posiblemente, el tuit más indecente de hoy. Se han cruzado todas las líneas @gallifantes</t>
  </si>
  <si>
    <t>Tras 16 años con la realidad política, social y empresarial de España, El Semanal Digital se convierte en ESdiario. Su portal de opinión sigue en @ElSemanalD.</t>
  </si>
  <si>
    <t>http://www.esdiario.com</t>
  </si>
  <si>
    <t>https://twitter.com/er_9569/status/1063065564493606912</t>
  </si>
  <si>
    <t>https://pbs.twimg.com/media/DsDEfieW4AA66Fx.jpg</t>
  </si>
  <si>
    <t>David López 🇪🇸</t>
  </si>
  <si>
    <t>Igual que sois valientes para manipular, @sextaNoticias @laSextaTV, espero que lo seáis para pedir disculpas a @vox_es y @Santi_ABASCAL por vuestra mentira mientras la ultraizquierda amenazaba fuera a los asistentes y le cantaba a Ortega Lara que “de vuelta al zulo”. RT @malditobulo: ¿Qué sabemos de la supuesta amenaza de Abascal en el acto de Vox en Murcia? Sí dijo la frase "Anda que si decidimos dejar de hablar y salimos ahora..." Pero la frase emitida por laSexta está cortada, no acaba ahí. Acto seguido Abascal dijo que era una broma.</t>
  </si>
  <si>
    <t>https://twitter.com/malditobulo/status/1063367156019138560</t>
  </si>
  <si>
    <t>pic.twitter.com/f10vmR9x4o</t>
  </si>
  <si>
    <t>Comunidad de Madrid y CLM</t>
  </si>
  <si>
    <t>Europeo. Español. Madrileño. 17 años. Estudiante de bachillerato 📚. De centroderecha. Apasionado de la política, la historia y los idiomas 🇬🇧🇫🇷</t>
  </si>
  <si>
    <t>Vox Zamora</t>
  </si>
  <si>
    <t>Anda @InesArrimadas !!! Pero si ahora hacéis lo mismo que @Santi_ABASCAL y @vox_es Nos alegramos de que recojáis el testigo y defendáis la democracia en Cataluña! RT @InesArrimadas: Hemos presentado una denuncia ante Fiscalía por delito de odio tras los ataques de Arran a Llarena. No aceptaremos esta constante persecución ideológica, señalamiento y hostigamiento a los que defienden la democracia en Cataluña. Seguiremos defendiendo a los servidores públicos.</t>
  </si>
  <si>
    <t>https://twitter.com/InesArrimadas/status/1063113624254902272</t>
  </si>
  <si>
    <t>pic.twitter.com/AzWYHevL7X</t>
  </si>
  <si>
    <t>Zamora, España</t>
  </si>
  <si>
    <t>Cuenta oficial VOX en Zamora. Partido Político creado para la renovación y el fortalecimiento de la vida democrática. #EspañaViva #ZamoraPorEspaña🇪🇸</t>
  </si>
  <si>
    <t>Felicity Morera 🇪🇸💚</t>
  </si>
  <si>
    <t>Venga!!! Todos a El Ejido esta tarde a partir d las 7:30pm con Santi Abascal @Santi_ABASCAL y Javier Ortega Smith @Ortega_Smith Todos con VOX 💚🇪🇸 Todos con España 🇪🇸💚 RT @Alternativa_VOX: 🔴 No te pierdas esta tarde a las 19:30 en El Ejido el acto de campaña de @vox_es con @Ortega_Smith Secretario General y @FSerranoCastro candidato a la Junta de Andalucía. 📍Restaurante El Edén(Ctra. De Málaga, Km 414,5) ¡Acude con tu bandera!🇪🇸 #AndalucíaPorEspaña</t>
  </si>
  <si>
    <t>https://twitter.com/Alternativa_VOX/status/1063416118923141121</t>
  </si>
  <si>
    <t>https://pbs.twimg.com/media/DsIDUeeXcAEdWbU.jpg</t>
  </si>
  <si>
    <t>España 🇪🇸💚</t>
  </si>
  <si>
    <t>Licenciada en Derecho. Diseño de joyas en plata y piedras preciosas 💎</t>
  </si>
  <si>
    <t>PEQUEÑO CERVATILLO</t>
  </si>
  <si>
    <t>Te va a votar mucha gente en las próximas elecciones, confiamos en vosotros @Santi_ABASCAL ,@vox_es No podemos permitir que destrocen España de esta forma.</t>
  </si>
  <si>
    <t>GJ🇪🇸</t>
  </si>
  <si>
    <t>No tiene desperdicio el repasito. Muy cansado de esa derechita blandita y llena de maricomplejines... ahora más que nunca @vox_es @Santi_ABASCAL RT @Ortega_Smith: Está derechita cobarde además no se entera lo que de verdad es útil para España (no para ellos) 1/4 #VoxVotoUtil #EspañaViva5</t>
  </si>
  <si>
    <t>https://twitter.com/Ortega_Smith/status/1063426868353863680</t>
  </si>
  <si>
    <t>pic.twitter.com/u2Zy7xI8hN</t>
  </si>
  <si>
    <t>Talavereando De La Queen</t>
  </si>
  <si>
    <t>🍀Metepatas empedernido, suertudo perenne, lo que viene siendo un compensao de la vida🍀 PRO España🇪🇸 PRO Guardia Civil💚👮 PRO Viva la madre que me pario👸</t>
  </si>
  <si>
    <t>El Libre Pensador</t>
  </si>
  <si>
    <t>La perversión del lenguaje en España está diseñada para aplastar al que tiene criterio propio y aglutinar a la masa ignorante. @hermanntertsch @Santi_ABASCAL @vox_es @ldpsincomplejos</t>
  </si>
  <si>
    <t>pic.twitter.com/lhgxUIF85r</t>
  </si>
  <si>
    <t>Se supone que tengo que poner algo, pero como seguramente ofenda a alguien, prefiero no hacerlo. Solo diré que me encanta escribir. 📚📚</t>
  </si>
  <si>
    <t>https://www.amazon.es/Jano-Garc%C3%ADa/e/B0755PWSXK/ref=dp_byline_cont_book_1</t>
  </si>
  <si>
    <t>▶️ Play TV</t>
  </si>
  <si>
    <t>Santiago Abascal (@Santi_ABASCAL) critica la «manipulación» de laSexta</t>
  </si>
  <si>
    <t>"La ca&lt;a también vota celebrará un acto público con @vox_es El próximo miércoles en "Sevilla en que solicitemos a @santi_Abascal su adhesión. RT @andaluciacaza: #LaCazaTambiénVota celebrará un acto público con @vox_es el próximo miércoles en #Sevilla en el que solicitaremos a @Santi_ABASCAL su adhesión a #UnaApuestaPorLaCaza:</t>
  </si>
  <si>
    <t>http://play.abc.es/hr7wc2</t>
  </si>
  <si>
    <t>Madrid, Spain</t>
  </si>
  <si>
    <t>Todo sobre televisión, guia tv, audiencias y noticias en @ABC_es</t>
  </si>
  <si>
    <t>http://www.abc.es/play/television/</t>
  </si>
  <si>
    <t>Más comentados ahora en Cataluña/Catalanismo: ➀ @jcanadellb ↑ ➁ @InesArrimadas ↓ ➂ @Aracelisegarra ↑ ➃ @Microsoft ↓ ➄ @pablocasado_ ↓ ➅ @claudiosofocles ↑ ➆ @Santi_ABASCAL ↓ ➇ @Albert_Rivera ↓ ➈ @culebra1978</t>
  </si>
  <si>
    <t>sandra</t>
  </si>
  <si>
    <t>que carmen lomana hable con santi abascal para que raoul haga el himno de vox y por fin pueda sacar un single por favor 🙏🏼😩</t>
  </si>
  <si>
    <t>Español Inconforme</t>
  </si>
  <si>
    <t>Esto es lo que consigue la prensa y los políticos con su afán de criminalizar a @vox_es y a @Santi_ABASCAL que cada vez más Españoles confiemos en ellos y en su proyecto. #YoVotoVox</t>
  </si>
  <si>
    <t>https://pbs.twimg.com/media/DsILUWHX4AA2WDm.jpg</t>
  </si>
  <si>
    <t>isn't everything we do in life a way to be loved a little more? 🌻</t>
  </si>
  <si>
    <t>https://letterboxd.com/sandroine</t>
  </si>
  <si>
    <t>El gato con botas</t>
  </si>
  <si>
    <t>Los medios de desinformación ya no tienen el poder absoluto @Santi_ABASCAL @Ortega_Smith @Armenia_Green @vox_es</t>
  </si>
  <si>
    <t>https://pbs.twimg.com/media/DsIH7PNW0AA6-en.jpg</t>
  </si>
  <si>
    <t>Extremaño y Librandome de los Tontos%</t>
  </si>
  <si>
    <t>Plataforma TVE Libre</t>
  </si>
  <si>
    <t>Señalar es propio de mentalidades fascistas, eso es lo que hacían todos los #JetasInBlack y el @CdItve con sus Viernes Negros @ElAguijon_ @maria_escario @PPopular @CiudadanosCs @rosadiezglez @libertaddigital @liberartve @PhilAMellows @isanseba @Santi_ABASCAL @vox_es</t>
  </si>
  <si>
    <t>Paco</t>
  </si>
  <si>
    <t>"Oye oye tu niño islámico, mira, mira como como jamon, con tocino y todo eh. A que jode?" Santi Abascal pensando en sus ratos libres como mejorar la educación RT @elespanolcom: Vox quiere que se "coma jamón en los colegios” aunque moleste a los "islamistas”</t>
  </si>
  <si>
    <t>https://pbs.twimg.com/media/DsIFiJJWsAIgEIn.jpg</t>
  </si>
  <si>
    <t>Profesionales de RTVE unidos contra el sectarismo y el odio en RTVE. ¿Quieres conocer la verdad? Comprometidos con el verdadero servicio público</t>
  </si>
  <si>
    <t>Motos👊✊🏍💨 Dani Pedrosa http://instagram.com/pakit098 Candado: @pakit07B</t>
  </si>
  <si>
    <t>Atencio. @Santi_ABASCAL @pablocasado_ Esta gente tiene como meta apoderarse de España...Cuba financia a Podemos con dinero de Venezuela. Investiguen.. RT @arcovi1: No digo nada....!!</t>
  </si>
  <si>
    <t>https://twitter.com/arcovi1/status/1063411934232539136</t>
  </si>
  <si>
    <t>https://pbs.twimg.com/media/DsH_g0nWoAAmyPB.jpg</t>
  </si>
  <si>
    <t>La torticera y escandalosa manipulación de las palabras de @Santi_ABASCAL siguen sin respuesta ni de LaSexta en general ni de @DebatAlRojoVivo en particular. No es que a nadie le haya costado el cargo, es que no han pedido ni disculpas. Esta es la oligarquía mediática que tenemos</t>
  </si>
  <si>
    <t>Jon</t>
  </si>
  <si>
    <t>Vox, víctima del continuo recurso a la violencia de la izquierda. Por Juan E. Pflüger  vía @CorreoDeMadrid @PioMoa1 @Juanerpf @Edu_AriasAE @AgenteSpasic @voxnoticias_es @madrid_vox @Santi_ABASCAL @Juan_A_Morales @relibertad @ipeutrera</t>
  </si>
  <si>
    <t>https://www.elcorreodemadrid.com/opinion/775683757/Vox-victima-del-continuo-recurso-a-la-violencia-de-la-izquierda.-Por-Juan-E.-Pfluger.html</t>
  </si>
  <si>
    <t>LUCAS VÁZQUEZ CEMENTERIO DE MELONES AL ÁREA</t>
  </si>
  <si>
    <t>Ojalá @perezreverte y @Santi_ABASCAL yendo a darle una buena paliza al subnormal de Lovren.</t>
  </si>
  <si>
    <t>La posesión como forma de vida, la valentía por bandera y poner el culo contra el Barça por costumbre. - Genio táctico en paro.</t>
  </si>
  <si>
    <t>Kobe 🇪🇸</t>
  </si>
  <si>
    <t>500 días secuestrado por una banda terrorista, pero aun hay gente llamados "pacíficos" que le mandan de vuelta al zulo, son los mismos que luego se abrazan con el sanguinario de Otegui. Esto tiene que parar. @Santi_ABASCAL</t>
  </si>
  <si>
    <t>https://www.elespanol.com/espana/politica/20181116/reacciono-ortega-lara-canticos-vuelve-fe-serenidad/353466157_0.html</t>
  </si>
  <si>
    <t>21. Junior Software Developer Team Leader | Técnico superior informático | DEFEND RMCF "Uno di noi" 🇪🇸 | Gym and tattoos | BODYBUILDING</t>
  </si>
  <si>
    <t>Entre el grupo de "otros" esta @vox_es con @Santi_ABASCAL al frente. RT @electo_mania: Encuesta mensual de @s_logica Fuerte bajada del PP y también, aunque menor, del PSOE. Subida del apartado "otros", que no se desglosa por la encuestadora. Más información:</t>
  </si>
  <si>
    <t>https://twitter.com/electo_mania/status/1063387360853921792
http://electomania.es</t>
  </si>
  <si>
    <t>https://pbs.twimg.com/media/DsHpKRAX4AAogPn.jpg</t>
  </si>
  <si>
    <t>Españolpuracepa 🇪🇸🇪🇸🇪🇸🇪🇸🇪🇸🇪🇸</t>
  </si>
  <si>
    <t>- VOX HABLA CLARO SIN CORTAPISAS. - VOX DICE LO QUE MUCHA GENTE PIENSA. - VOX NO ES AMBIGUO. - VOX ES LA SOLUCIÓN. @Santi_ABASCAL @Ortega_Smith @monasterioR 🇪🇸🇪🇸🇪🇸🇪🇸🇪🇸🇪🇸🇪🇸🇪🇸🇪🇸🇪🇸🇪🇸</t>
  </si>
  <si>
    <t>https://pbs.twimg.com/media/DsH51vkWkAAaW99.jpg</t>
  </si>
  <si>
    <t>Claro que si, a por todas @vox_es y @Santi_ABASCAL. Desde #EspañaViva te apoyamos. Tu eres el único que puede cambiar #España ✌️ RT @eslamananadeFJL: "El CIS es una cocina de diseño; ponen el escaño de VOX en Almería porque les interesa. Nuestras encuestas nos dicen que tenemos escaño en Sevilla y Málaga". Francisco Serrano. @eslamananadeFJL</t>
  </si>
  <si>
    <t>https://twitter.com/eslamananadeFJL/status/1062988973432287232</t>
  </si>
  <si>
    <t>#LaCazaTambiénVota celebrará un acto público con @vox_es el próximo miércoles en #Sevilla en el que solicitaremos a @Santi_ABASCAL su adhesión a #UnaApuestaPorLaCaza:</t>
  </si>
  <si>
    <t>http://ow.ly/RjtV30mDOTa</t>
  </si>
  <si>
    <t>Santiago Abascal estará esta noche con los más jóvenes, a partir de las 20h en el Bar Epheta (Parque del Prado) de la mano de "Cañas Por España". @canasporespana @Santi_ABASCAL #AndalucíaPorEspaña #Españaviva #VotaVOX</t>
  </si>
  <si>
    <t>COPSAPM</t>
  </si>
  <si>
    <t>#ruta larga por #España... un bonito viaje en #moto #moteros... @gda_info @PerdigueroSIPEp @Santi_ABASCAL @lancelot_xbal @MqGuardiaCivil @BronCmad</t>
  </si>
  <si>
    <t>VOX desborda el mitin de #Málaga con más de 3.500 asistentes. La #EspañaViva acelera su paso y se encamina a un triunfo electoral en #AndalucíaPorEspaña #VotaVOX</t>
  </si>
  <si>
    <t>https://pbs.twimg.com/media/DsHhfUyXQAAUyBR.jpg</t>
  </si>
  <si>
    <t>https://pbs.twimg.com/media/DsH4PAgXoAANsPC.jpg</t>
  </si>
  <si>
    <t>Asociación COPS A.P.M.</t>
  </si>
  <si>
    <t>http://copsapm.es/</t>
  </si>
  <si>
    <t>Imágenes obtenidas del tuit de @joanplanas , para ver su tuit visitad su tl o el mío (he retuiteado), ¿ Lenguaje inclusivo -patadas al diccionario en mi opinión- según conviene? ¿ No se hace nada contra la sexta por manipulación? @Santi_ABASCAL @vox_es @hermanntertsch @MuyLiberal</t>
  </si>
  <si>
    <t>https://pbs.twimg.com/media/DsH2SMRW0AAAZ-o.jpg</t>
  </si>
  <si>
    <t>Ourense</t>
  </si>
  <si>
    <t>#TeamInstinct #TL40 Don't surrender if you believe. Catholic and Conservative. Política y Pokemon GO. #HalaMadrid</t>
  </si>
  <si>
    <t>Biel LG🎗</t>
  </si>
  <si>
    <t>Ya basta. @manuelvalls hace lo mismo que @sanchezcastejon. Basta de negociar con independentistas, basta de complicidad con golpistas. @vox_es @Santi_ABASCAL</t>
  </si>
  <si>
    <t>https://pbs.twimg.com/media/DsHu6m0WoAA0XWk.jpg</t>
  </si>
  <si>
    <t>Canet de Mar, Països Catalans</t>
  </si>
  <si>
    <t>Anar-hi, anar-hi i anar-hi | Canetenc exiliat al Baix Guinardó | Estudiant a @politiquesUPF</t>
  </si>
  <si>
    <t>Pablo Jose</t>
  </si>
  <si>
    <t>Esto es lo que os hace DIFERENTES, @vox_es @Santi_ABASCAL @Vox_Murcia @drh74hopl de aquellos que NO tienen de su parte ni la LEY ni la RAZÓN, solo la destrucción y el daño ajeno.</t>
  </si>
  <si>
    <t>Todo mi apoyo, querido @alejandroTGN RT @alejandroTGN: Así me acabo de encontrar mi coche en el parking de mi casa. Me duele por mi familia y porque es nuestro hogar, pero seguiré defendiendo la libertad y mis ideas con más determinación que nunca. Gracias a @mossos por la atención que nos están prestando.</t>
  </si>
  <si>
    <t>https://twitter.com/alejandroTGN/status/1063771356762988550</t>
  </si>
  <si>
    <t>https://pbs.twimg.com/media/DsNGZppWwAIdmkv.jpg</t>
  </si>
  <si>
    <t>Ha sido un placer conocerte, @Santi_ABASCAL.</t>
  </si>
  <si>
    <t>https://pbs.twimg.com/media/DsHueIiWkAAO63K.jpg</t>
  </si>
  <si>
    <t>⚔🇪🇸Héroe de Leyenda🇪🇸⚔</t>
  </si>
  <si>
    <t>Mi voto para @Santi_ABASCAL</t>
  </si>
  <si>
    <t>Tercios de Flandes</t>
  </si>
  <si>
    <t>Donde un español no llega con la mano, llega con la punta de su espada🗡🇪🇸</t>
  </si>
  <si>
    <t>...:: Disfrazad0 ::.</t>
  </si>
  <si>
    <t>El demócrata @palomarbatista se declara antifascista y tiene palabras de amor para Ortega Lara Qué opina de ello @Santi_ABASCAL ?</t>
  </si>
  <si>
    <t>https://pbs.twimg.com/media/DsHrGDpW0AEPnOR.jpg</t>
  </si>
  <si>
    <t>Soberanía, Justicia, Unidad</t>
  </si>
  <si>
    <t>-Ateo-Activista-Investigador-</t>
  </si>
  <si>
    <t>Por fin rectifican de la burda y malintencionada manipulación del vídeo de .@Santi_ABASCAL .@vox_es Más que rectificar ellos, las redes sociales les han hecho rectificar..los españoles no nos tragamos ya más #FakeNews La violencia no está en VOX sino en la izquierda podemita RT @sextaNoticias: VÍDEO | Ferreras en @DebatAlRojoVivo: "Vox (@vox_es), tranquilos, aquí lo contamos todo"</t>
  </si>
  <si>
    <t>https://twitter.com/sextanoticias/status/1063383595761438720
http://atres.red/cpnph1</t>
  </si>
  <si>
    <t>Cañas por España en Sevilla, con @Santi_ABASCAL . Jovenes sevillanos España os necesita</t>
  </si>
  <si>
    <t>https://pbs.twimg.com/media/DsHpvdgWkAAzUK9.jpg</t>
  </si>
  <si>
    <t>🔴 No te pierdas esta tarde a las 20:00 en Sevilla el acto de @canasporespana con @Santi_ABASCAL presidente de @vox_es. 📍Bar Epheta ¡No faltes! 🍻</t>
  </si>
  <si>
    <t>https://pbs.twimg.com/media/DsHpQLHXcAA0f7k.jpg</t>
  </si>
  <si>
    <t>Óscar RL</t>
  </si>
  <si>
    <t>El titular del juzgado de instrucción número 8 de Murcia, en funciones de guardia, ha condenado a 8 meses de cárcel a los dos detenidos durante una concentración contra un acto de @vox_es @Santi_ABASCAL acusados de un delito de atentado a la autoridad y de otro leve de lesiones.</t>
  </si>
  <si>
    <t>Nacido en Cartagena ,Viviendo en Murcia</t>
  </si>
  <si>
    <t>Director Comercial de Enviur Servicios Urgentes y trader profesional . Mis dos amores futbolísticos @FCCartagena_efs y Barça</t>
  </si>
  <si>
    <t>Buenas tardes VOX desde Huelva un cordial saludo de un afiliado a VOX Huelva.. Así está la Plaza de la marina de Malaga a 15 minutos de que empiecen el acto de Campaña con @santi_abascal_OrtegaSmith y nuestro candidatos Andalucía se contagia de fuerza e ilusi RT @vox_es: 📹 Así está la Plaza de la Marina de Málaga a 15 minutos de que empiece el acto de campaña con @Santi_ABASCAL, @Ortega_Smith y nuestros candidatos. Andalucía se contagia de fuerza e ilusión. El 2 de diciembre daremos la sorpresa 💪🇪🇸 ✅ Vota VOX, vota #AndalucíaPorEspaña</t>
  </si>
  <si>
    <t>Si esto es verdad, ¡BOICOT A MICROSOFT! Miren lo que sale justo al comenzar el vídeo. @hermanntertsch @carloscuestaEM @Gato_directo @Vox_Pozuelo @vox_es @Santi_ABASCAL @Ortega_Smith @cakealatake @isanseba @CristinaSegui_ @carlosherreracr @monasterioR</t>
  </si>
  <si>
    <t>https://twitter.com/msftcitynext/status/1063152649351114752?s=21</t>
  </si>
  <si>
    <t>VOX Murcia-Provincia</t>
  </si>
  <si>
    <t>Noticia en @laSextaTV : VIOLENCIA SALVAJE Juan dice, mañana te voy a pegar. Noticia real: Mañana te voy a pegar los azulejos del baño. Así con todo @vox_es, @Santi_ABASCAL</t>
  </si>
  <si>
    <t>Murcia  https://www.voxespana.es/murcia</t>
  </si>
  <si>
    <t>Cuenta Oficial de Vox en la Provincia de Murcia. #HacerEspañaGrandeOtraVez ✉ info@murcia.voxespana.es Teléfono: 691 83 90 80</t>
  </si>
  <si>
    <t>En lo alto de un monte</t>
  </si>
  <si>
    <t>Manuelo 🇪🇸🇪🇸🇪🇸🇪🇸🇪🇸🇪🇸🇪🇸🇪🇸🇪🇸</t>
  </si>
  <si>
    <t>Hoy Ferreras ha tenido que sacar el vídeo completo de VOX donde @Santi_ABASCAL dice que era una broma, que ellos sacan todo completo, lo que no dice es que saca todo el video completo una vez que la gente ha denunciado sus manipulaciones @DebatAlRojoVivo @sextaNoticias</t>
  </si>
  <si>
    <t>El Mundo Mundial</t>
  </si>
  <si>
    <t>Quédate con quién valga la alegría, no la pena</t>
  </si>
  <si>
    <t>¿En serio?</t>
  </si>
  <si>
    <t>Madre mía la soberbia y chulería de Ferreras en @DebatAlRojoVivo hablando de @Santi_ABASCAL y #VOX diciendo que no manipulan...</t>
  </si>
  <si>
    <t>Nunca sabes lo que la vida te puede deparar...</t>
  </si>
  <si>
    <t>📣🇪🇸 Próximos actos públicos de la #EspañaViva ⬇️ 🚩 17/11 MÁLAGA con @Santi_ABASCAL @Ortega_Smith y @FSerranoCastro 🚩 19/11 CHICLANA con @Santi_ABASCAL @Ortega_Smith y @pedro_fhz 🚩 20/11 CÓRDOBA con @Santi_ABASCAL @Ortega_Smith y @FSerranoCastro ¡Te esperamos!</t>
  </si>
  <si>
    <t>https://pbs.twimg.com/media/DsHf7_HW0AEV2nb.jpg</t>
  </si>
  <si>
    <t>LuiSS</t>
  </si>
  <si>
    <t>#LaSextaNoticias como podéis decir que informáis si manipuláis los vídeos del mitin de @Santi_ABASCAL del otro día en Murcia, cortando y pegando a vuestro antojo, soy una cadena de televisión politizada bajo la influencia del comunismo del 36.</t>
  </si>
  <si>
    <t>LA SUERTE ES SOLO PARA LOS COBARDES...</t>
  </si>
  <si>
    <t>#AgendaVOX #Hoy a las 20h en #SEVILLA con @Santi_ABASCAL #FelizViernes RT @FSerranoCastro: Tómate una caña por España esta tarde con nuestro presidente Santi Abascal. ✅ Vota a VOX</t>
  </si>
  <si>
    <t>https://twitter.com/FSerranoCastro/status/1063365577954287621</t>
  </si>
  <si>
    <t>https://pbs.twimg.com/media/DsHVUXZXQAEunrX.jpg</t>
  </si>
  <si>
    <t>Sr.Vázquez ⚽️</t>
  </si>
  <si>
    <t>Todo mi apoyo a #OrtegaLara ante los insultos y las amenazas en Murcia. Gracias a la @laSextaTV por demostrarme dia a dia a quien se debe de votar en este pais @vox_es @Santi_ABASCAL</t>
  </si>
  <si>
    <t>Madrid, Capital del cielo</t>
  </si>
  <si>
    <t>Arbitro, Ingeniero, Español y Madridista eterno. 24/05/2014 grabado en mi corazón. Mi vida RMCF #EspartanosBlancos #KLM</t>
  </si>
  <si>
    <t>http://www.realmadrid.com</t>
  </si>
  <si>
    <t>Atenea Murcia</t>
  </si>
  <si>
    <t>No me significo con ningún partido politico, pero lo que paso en Murcia, es una autentica Vergüenza, donde esta la libertad de expresión, donde se ha visto a alguien de @VoxMurcia haciendo un escrache, en ningun sitio, en @Santi_ABASCAL vino pacificamente a expresarse, yo ...</t>
  </si>
  <si>
    <t>La verdad nos hara libres</t>
  </si>
  <si>
    <t>Albert Gabàs</t>
  </si>
  <si>
    <t>En esta noticia hay que ir a leer la denuncia que se adjunta que estaba criando polvo, y que hará alucinar a cualquiera con la corrupción en Cataluña, mientras nos entretienen con la rebelión. @pedroj_ramirez @pacomarhuenda @santi_abascal @_anapastor_</t>
  </si>
  <si>
    <t>https://okdiario.com/investigacion/2018/11/16/denuncian-ministros-borrell-delgado-que-cni-catalan-cobraba-mordidas-del-4-3357154</t>
  </si>
  <si>
    <t>https://www.astabis.com</t>
  </si>
  <si>
    <t>MICS 🇭🇺</t>
  </si>
  <si>
    <t>Mi entrevista a @Santi_ABASCAL, presidente de @vox_es, en el periódico húngaro @magyar_hirlap. Traducción automática al español:</t>
  </si>
  <si>
    <t>https://tinyurl.com/y9df9oh4
http://magyarhirlap.hu/cikk/130879/Santiago_Abascal_Orban_Viktor_lehet_az_uj_Europa_vezetoje</t>
  </si>
  <si>
    <t>Relaciones Internacionales, Hungría, Multilingüismo, AICLE, TEFL/TESOL, ELE, Historia, Geografía, Educación, Filosofía, Psicología, Sofrología, Coaching.</t>
  </si>
  <si>
    <t>IMPORTANTÍSIMO Federico a las 6: La violencia del golpe, ahora contra los jueces  vía @esradio @Santi_ABASCAL @CasaReal @GeneralDavila @Ortega_Smith @GirautaOficial @monasterioR @pablocasado @carloscuestaEM @ivanedlm @rosadiezglez @AsisTimermans @isanseba</t>
  </si>
  <si>
    <t>https://esradio.libertaddigital.com/fonoteca/2018-11-16/federico-a-las-6-la-violencia-del-golpe-ahora-contra-los-jueces-130268.html</t>
  </si>
  <si>
    <t>Más comentados ahora en Cataluña/Catalanismo: ➀ @jcanadellb ↓ ➁ @InesArrimadas ↑ ➂ @Aracelisegarra ↓ ➃ @AlbanoDante76 ↓ ➄ @NoeMartri ↓ ➅ @Albert_Rivera ↓ ➆ @pablocasado_ ↓ ➇ @Santi_ABASCAL ↓ ➈ @ramoncotarelo ↑</t>
  </si>
  <si>
    <t>Maraba</t>
  </si>
  <si>
    <t>No lo digo yo... No lo dice @pablocasado_ No lo dice @Albert_Rivera No lo dice @Santi_ABASCAL Lo dice El Presidente @PSOE Felipe González Pasen y lean!!! Felipe prefiere al Rey y "hasta" a Franco que la República que exige Podemos  vía @ESdiario_com</t>
  </si>
  <si>
    <t>https://www.esdiario.com/23853720/Felipe-prefiere-al-Rey-y-hasta-a-Franco-que-la-Republica-que-exige-Podemos.html</t>
  </si>
  <si>
    <t>sebastian melgares</t>
  </si>
  <si>
    <t>Yo estuve allí y es un honor escuchar a Santi Abascal. RT @vox_es: 📹 Así está la Plaza de la Marina de Málaga a 15 minutos de que empiece el acto de campaña con @Santi_ABASCAL, @Ortega_Smith y nuestros candidatos. Andalucía se contagia de fuerza e ilusión. El 2 de diciembre daremos la sorpresa 💪🇪🇸 ✅ Vota VOX, vota #AndalucíaPorEspaña</t>
  </si>
  <si>
    <t>Me gusta leer, opinar, aprender</t>
  </si>
  <si>
    <t>No te dejes manipular @helenaresano por tus jefes. Comprobad las noticias antes de difundirlas: "Grosera manipulación de La Sexta con el acto de ,@vox_es: @Santi_ABASCAL "llegó a amenazar con salir" -</t>
  </si>
  <si>
    <t>https://www.libertaddigital.com/espana/2018-11-15/grosera-manipulacion-de-la-sexta-con-el-acto-de-vox-abascal-llego-a-amenazar-con-salir-1276628314/</t>
  </si>
  <si>
    <t>Victor Santiago</t>
  </si>
  <si>
    <t>Si en @laSextaTV hablasen bien de @vox_es, no votaría a @Santi_ABASCAL RT @hermanntertsch: LaSexta en su propia trampa. Publicidad gratis para VOX. Cada miseria contra VOX es ya fuerza para VOX. Millones de españoles saben que los enemigos de Ferreras han de ser decentes. Grosera manipulación de La Sexta con el acto de VOX  vía @libertaddigital</t>
  </si>
  <si>
    <t>https://twitter.com/hermanntertsch/status/1063167396842799109
https://www.libertaddigital.com/espana/2018-11-15/grosera-manipulacion-de-la-sexta-con-el-acto-de-vox-abascal-llego-a-amenazar-con-salir-1276628314/</t>
  </si>
  <si>
    <t>Liberal y defensor de la nación española a los 2 lados del Atlántico</t>
  </si>
  <si>
    <t>Pepito_Grillo</t>
  </si>
  <si>
    <t>Andalucia el cortijo de unos pocos en perjuicio del resto. O eres de cuna PSOE o no consigues nada. @vox_es @Santi_ABASCAL @Ortega_Smith #EspañaViva @spiriman #SanchezDimision #EleccionesYA</t>
  </si>
  <si>
    <t>https://www.larazon.es/local/andalucia/la-junta-contrata-de-forma-irregular-a-la-hija-de-la-consejera-de-salud-AC20551098</t>
  </si>
  <si>
    <t>Mundo Imaginario</t>
  </si>
  <si>
    <t>Fastidiando el sueño con mis cantares</t>
  </si>
  <si>
    <t>Próximos actos públicos de VOX ⤵ 🍻 SEVILLA, @canasporespana con @Santi_ABASCAL, viernes 16 a las 20:00 en el Bar Epheta 🚩 MÁLAGA, gran acto de campaña, sábado 17 a las 12:00 en la Plaza de la Marina ¡Te esperamos, acude con tu bandera! 🇪🇸 #VotaVOX #AndalucíaporEspaña</t>
  </si>
  <si>
    <t>https://pbs.twimg.com/media/DsHTU9xWwAAeFJi.jpg</t>
  </si>
  <si>
    <t>“FE Y SERENIDAD” DEL “MEJOR DE LOS NUESTROS” La MODERACION de ORTEGA LARA Y VOX el gran VALOR de la ESPAÑA VIVA. A galope hacia el futuro, la concordia y la libertad. FUERZA Y HONOR  @Santi_ABASCAL @vox_es</t>
  </si>
  <si>
    <t>Así ha explicado @Santi_ABASCAL la manipulación de La Sexta con sus palabras en el acto de @vox_es en Murcia.</t>
  </si>
  <si>
    <t>pic.twitter.com/PGP08n1lX9</t>
  </si>
  <si>
    <t>Rafael Solís Ortiz... y facha</t>
  </si>
  <si>
    <t>Baño de masas de Santi Abascal en Malaga. Voto útil? Útil para qué? Útil para quien? Un mensaje cristalino, valiente. Vota VOX también en Andalucía; sobre todo, en Andalucía. RT @vox_es: 📹 Así está la Plaza de la Marina de Málaga a 15 minutos de que empiece el acto de campaña con @Santi_ABASCAL, @Ortega_Smith y nuestros candidatos. Andalucía se contagia de fuerza e ilusión. El 2 de diciembre daremos la sorpresa 💪🇪🇸 ✅ Vota VOX, vota #AndalucíaPorEspaña</t>
  </si>
  <si>
    <t>Los empresarios hablan de cómo está la economía; los economistas, de como debería estar y los políticos, como doña Lola Flores, de como me las maravillaría yo.</t>
  </si>
  <si>
    <t>http://lecheybananas.blogspot.com</t>
  </si>
  <si>
    <t>Español Hasta la médula</t>
  </si>
  <si>
    <t>Cada vez tengo más claro mi voto. Este irá para @vox_es por ser los únicos que defienden con claridad la idea de España, mi Patria, mi Bandera, mi hogar. @Santi_ABASCAL Seguir así y lo conseguiréis!!! Somos muchos los que amamos la roja y gualda</t>
  </si>
  <si>
    <t>Más comentados ahora en Cataluña/Catalanismo: ➀ @jcanadellb ↓ ➁ @InesArrimadas ↓ ➂ @Aracelisegarra ↓ ➃ @culebra1978 ➄ @NoeMartri ↓ ➅ @pablocasado_ ↑ ➆ @Santi_ABASCAL ↑ ➇ @Albert_Rivera ↑ ➈ @ramoncotarelo ↓</t>
  </si>
  <si>
    <t>Conel Mazo Dando</t>
  </si>
  <si>
    <t>Y @cayetanaAT ha pedido ya disculpas por decir en @eslamananadeFJL que @Santi_ABASCAL de @vox_es amenzó? La gente del @PPopular igualitos que la sexta, difama que algo queda... que vergüenza</t>
  </si>
  <si>
    <t>España nos necesita más que nunca, el parlamento se ha llenado de traidores #StopIslamizacion #StopCristianofobia</t>
  </si>
  <si>
    <t>https://www.facebook.com/Dando-un-Mazazo-961983367274605/</t>
  </si>
  <si>
    <t>Gabriel Ariza</t>
  </si>
  <si>
    <t>Sí, @DaniMateoAgain , @Santi_ABASCAL parece que va a Mordor,porque es en un lugar lleno de Orcos como los de Murcia en lo que queréis convertir Andalucía y el resto de España. (Por cierto, se os huele el miedo.)</t>
  </si>
  <si>
    <t>https://s3-eu-west-1.amazonaws.com/kmplus-account-files/1712295/2018/11/16/CQ6QZFgFgUCP90iWQfmyg.mp4</t>
  </si>
  <si>
    <t>Católico, marido de María y padre de Inés, Francisco de Asís y Gabriel. también en @Infovaticana</t>
  </si>
  <si>
    <t>http://infovaticana.com</t>
  </si>
  <si>
    <t>Desde Barcelona quiero mandar ánimos a @FSerranoCastro @Santi_ABASCAL para que entren con fuerza en el Parlamento de Andalucía el próximo 2D. Siento envidia de los andaluces por ser los primeros en poder votar a @vox_es 🇪🇸</t>
  </si>
  <si>
    <t>Antonio Fabián</t>
  </si>
  <si>
    <t>Creo k simplemente con lo ocurrido con Ortega Larga debe de servir al pueblo español para desenmascarar a muchos. Es vomitivo k se le cante tal cosa a un hombre k vivió cerca de DOS AÑOS defenestrado. Creo k la broma de @ahorapodemos ya sobra, verdad @Santi_ABASCAL @vox_es ?</t>
  </si>
  <si>
    <t>Los Palacios (Sevilla)</t>
  </si>
  <si>
    <t>Componente de la B. de CC y TT @VeraCruzLosPala. 1ª Fuerte. En dicha banda he vivido dos etapas: 1996-2004 / 2013-actualidad.</t>
  </si>
  <si>
    <t>SALVAR MARTA #NOELIAFINALISTA #LosPerOTsDeDave 💣</t>
  </si>
  <si>
    <t>Ana Rosa no puede dejar de excusar a los neofascistas como @Albert_Rivera @pablocasado_ y @Santi_ABASCAL ni medio segundo RT @FormulaTV: Ana Rosa Quintana responde a Ortega Lara tras el boicot a Vox en Murcia: 'Españoles somos todos'</t>
  </si>
  <si>
    <t>https://twitter.com/formulatv/status/1063329576988876800
https://frml.tv/85980</t>
  </si>
  <si>
    <t>https://pbs.twimg.com/media/DsG0nO4XgAAdlIc.jpg</t>
  </si>
  <si>
    <t>La Muralla</t>
  </si>
  <si>
    <t>Carlos Right y Dave tienen sexo duro. Famous y Damion también | La octava plaga divina fue el aitedismo: #TeamVicente</t>
  </si>
  <si>
    <t>Vox Suances</t>
  </si>
  <si>
    <t>Se alinean las estrellas los planetas incluso las naciones europeas para presionar a Londres, es el momento de recuperar Gibraltar, ¿Y q hace el okupa? Estaría en el baño peinandose y no se enteró. Con @Santi_ABASCAL no hubiera pasado.</t>
  </si>
  <si>
    <t>https://www.elmundo.es/internacional/2018/11/16/5beddc8946163f869b8b4587.html</t>
  </si>
  <si>
    <t>Devolver el brillo al majestuoso municipio de Suances, reflejar el sentir tradicional y forjar un camino seguro para los más jóvenes son nuestros principios.</t>
  </si>
  <si>
    <t>ibn maher 🇸🇾</t>
  </si>
  <si>
    <t>Muy buenas compañeros de @vox_es y en especial a @Santi_ABASCAL. Quisiera que me confirmaran si esta imagen es real o es un vil montaje comunista, tengo dudas. En caso de ser real ¿dónde y en qué contexto fue tomada? Seguid así y contad con mi voto. Sois grandes como España. Æ</t>
  </si>
  <si>
    <t>observando el cambio</t>
  </si>
  <si>
    <t>https://pbs.twimg.com/media/DsHE6m2WsAAvWIK.jpg</t>
  </si>
  <si>
    <t>Andalucía - Siria</t>
  </si>
  <si>
    <t>De padre sirio y madre andaluza. @sirioandaluz</t>
  </si>
  <si>
    <t>http://sirioandaluz.blogspot.com.es/</t>
  </si>
  <si>
    <t>Buscar la belleza en las cosas sencillas</t>
  </si>
  <si>
    <t>David Carvajal</t>
  </si>
  <si>
    <t>Hola @Santi_ABASCAL RT @gallifantes: Ortega Lara es un miserable aunque sufriera un secuestro. Vamos, como Carrero Blanco. Que era un fascista aunque sufriese un atentado.</t>
  </si>
  <si>
    <t>https://twitter.com/gallifantes/status/1063021210299174912</t>
  </si>
  <si>
    <t>Noáin (Valle de Elorz), España</t>
  </si>
  <si>
    <t>Entrenador de Balonmano Ex 🤾de BM Gáldar, FC Barcelona, Portlans S. Antonio, BM Cuenca, Anaitasuna. #nacsport</t>
  </si>
  <si>
    <t>👉🏻Un patriotismo a la “americana” está germinado con gran vigor en España  @GomaMariano @EspanaForo @Santi_ABASCAL @vox_es @Albert_Rivera @Tonicanto1 @pablocasado_ @AntoniCamps @gsampolfer @jcamposasensi @paatri_guerrero @ERIKEO5555 @espanyacatalans</t>
  </si>
  <si>
    <t>https://www.diaribalear.es/un-patriotismo-a-la-americana-esta-germinado-con-gran-vigor-en-espana/</t>
  </si>
  <si>
    <t>Enrique Hidalgo León</t>
  </si>
  <si>
    <t>Parece que el miedo que tiene la izquierda al éxito de @vox_es les ha hecho incluso abandonar el monotema de la corrupción del @PPopular en sus televisiones afines. La consigna es atacar a quien puede traer el orden a España @Santi_ABASCAL. ¡Ladran, luego cabalgamos!</t>
  </si>
  <si>
    <t>FINE ART. Músico en creación continua. http://youtube.com/playlist?list=…</t>
  </si>
  <si>
    <t>https://open.spotify.com/album/3FKanDYH2t4tTXehlH9k11</t>
  </si>
  <si>
    <t>Ismael Ramírez López</t>
  </si>
  <si>
    <t>Orgulloso de que por fin tengamos en España un candidato político con las idea claras y lleno de sentido común, gracias @Santi_ABASCAL #EspañaViva RT @Santi_ABASCAL: ...y aquí el vídeo sin cortar que la propaganda de guerra de @laSextaTV no ha querido emitir. Sabíamos que ibais a manipularlo sin escrúpulos. 😂😂</t>
  </si>
  <si>
    <t>Albacete, Castilla-La Mancha</t>
  </si>
  <si>
    <t>No trabajes duro, trabaja inteligente. Español que quiere dejar una España mejor de la que está viviendo.</t>
  </si>
  <si>
    <t>Más comentados ahora en Cataluña/Catalanismo: ➀ @jcanadellb ↓ ➁ @InesArrimadas ↓ ➂ @Aracelisegarra ↑ ➃ @NoeMartri ↑↑↑ ➄ @culebra1978 ↓ ➅ @pablocasado_ ↓ ➆ @Albert_Rivera ↓ ➇ @Santi_ABASCAL ↓ ➈ @ramoncotarelo ↓</t>
  </si>
  <si>
    <t>Isguro</t>
  </si>
  <si>
    <t>Para mi lo d @sextaNoticias va más allá de q sean "periodistas" cutres y partidistas. La manipulación d imágenes poniendo q @Santi_ABASCAL había pedido salir a pelear creo q pasa ya a incitación al odio contra @vox_es . La retirada d licencia para emitir no me parecería exajerado</t>
  </si>
  <si>
    <t>Cada día le pongo el café a los futuros abogados de este país...cada noche construyo un bunker en el patio. Lacito que veo,lacito que bloqueo.</t>
  </si>
  <si>
    <t>Si ser antisistema es oponerse a ese sistema en el que os repartís los papeles desde hace 40 años según en el cual unos son los señoritos de la Junta y otros sois los señoritos de la oposición perpetua e inútil....pues seremos orgullosamente antisistema. #AndalucíaPorEspaña #VOX RT @COPE: .@JuanMa_Moreno: “Detrás de @vox_es hay un voto un poco antisistema. Es arriesgarse a que sea un voto inútil, que no sirva de nada, que impida el cambio en Andalucía”</t>
  </si>
  <si>
    <t>Dani González 🇪🇸</t>
  </si>
  <si>
    <t>En La Secta la única broma que entienden es la de un payaso sonándose los mocos con la bandera de España. Pero luego @Santi_ABASCAL bromea con lo de "Y si salimos ahí fuera.." y les falta tiempo para recortar el vídeo y comenzar a criminalizarlo. @vox_es</t>
  </si>
  <si>
    <t>Hablar bien y escribir bien es lo único que nos diferencia de los hijos de puta.</t>
  </si>
  <si>
    <t>Miguel Ángel Vázquez</t>
  </si>
  <si>
    <t>Los de @vox_es (a parte de todo lo racistas, machistas...) son unos hipócritas. No creen en las autonomías, llevan en el programa que las van a eliminar y se presentan. ¿Por qué motivo lo haceis, @Santi_ABASCAL?</t>
  </si>
  <si>
    <t>Extrema izquierda :P</t>
  </si>
  <si>
    <t>Gonzalo Bonet</t>
  </si>
  <si>
    <t>De verdad, qué asco Pedro Sánchen fletando dos aviones y un helicóptero para ir a Valladolid. Voy a votar a Santi Abascal que contamina mucho menos. Él va a todos sitios en caballo y calienta la casa frotándose los pelos de su pecho español. #FelizSábado</t>
  </si>
  <si>
    <t>Suyo de Usted</t>
  </si>
  <si>
    <t>Estimado @Santi_ABASCAL creo que deberían incidir y corregir a los que hablan de “antifascistas” cuando van a reventar actos de @vox_es . VOX no es fascista para que vayan “antis”. Van izquierdosos arengados con malas intenciones y sin vida laboral.</t>
  </si>
  <si>
    <t>Valencia, Spain</t>
  </si>
  <si>
    <t>Architect, but psychology student. Snooker player. Love music, sport, running, travel, writing, series... Si no aportas argumentos y/o faltas al respeto, block</t>
  </si>
  <si>
    <t>Principado de Asturias, España</t>
  </si>
  <si>
    <t>De los de antes, directo. Asturiano coñón (de coña) y con retranca (de güasa). Dígolo porque salme del pijo</t>
  </si>
  <si>
    <t>Vaya manipuladores @laSextaTV. Por favor, ver el segundo vídeo de @Santi_ABASCAL en el que se aprecia la realidad RT @Santi_ABASCAL: HILO VA: Os vamos a mostrar con 2 vídeos un ejemplo práctico de manipulación de @laSextaTV @sextaNoticias que se ha producido ahora mismo. Aquí el vídeo cortado y manipulado suciamente por La Secta:</t>
  </si>
  <si>
    <t>https://twitter.com/Santi_ABASCAL/status/1063066152648228866</t>
  </si>
  <si>
    <t>Los 20 tuits más RTs de @santi_abascal @agarzon @krls @miriamnoguerasm @girautaoficial @claraponsati @csarzafra @albert_rivera @tonicanto1 @inesarrimadas @MGutierrezCs @gallifantes @antoniobanos_ @joninarritu el jueves 15 de noviembre</t>
  </si>
  <si>
    <t>https://twitter.com/trendinaliaES/timelines/1063313007621492737</t>
  </si>
  <si>
    <t>Más comentados ahora en Cataluña/Catalanismo: ➀ @InesArrimadas ↑ ➁ @culebra1978 ↑↑ ➂ @Aracelisegarra ↑ ➃ @jcanadellb ↑ ➄ @Albert_Rivera ↑↑ ➅ @ramoncotarelo ↓ ➆ @pablocasado_ ↑ ➇ @Santi_ABASCAL ↑ ➈ @susanadiaz ↑↑</t>
  </si>
  <si>
    <t>MiGueL_ Castizo</t>
  </si>
  <si>
    <t>Este es mi presidente!!!! 👏 Diciendo lo que la mayoria pensamos, pero que no todos tienen el valor de decirlo públicamente por el buenismo que hay en esta sociedad y el miedo a que te tachen de insolidario y otras cosas. @Santi_ABASCAL 🙌🙌🙌🙌🙌 RT @Miotroyo2parte: Podrá gustar más o menos @vox_es, pero lo que está claro es que no hay otro líder político en España que hable tan claro sobre inmigración como lo hace @Santi_ABASCAL. Eso es así.</t>
  </si>
  <si>
    <t>https://twitter.com/Miotroyo2parte/status/1062756227644559360</t>
  </si>
  <si>
    <t>pic.twitter.com/GGc9Prl8te</t>
  </si>
  <si>
    <t>Seguidor del GETA! Amante del muay thai. Madrileño,castizo y ESPAÑOL. 👊 eL DoLoR, eS TeMPoRaL, eL oRGuLLo, eS PaRa SieMPRe!</t>
  </si>
  <si>
    <t>Madrid Sierra Norte</t>
  </si>
  <si>
    <t>Atentos a la campaña de Susana usando el símbolo cristiano de la cruz. Espero que no moleste a los podemitas ni a Sánchez y que @crisschlichting lo reproche como reprochó a @Santi_ABASCAL decir DIOS RT @sanchezcastejon: Arrancan unos días decisivos para construir una Andalucía que mira al presente y al futuro, que cree y defiende los servicios públicos, la igualdad de oportunidades y el Estado del Bienestar. Una Andalucía para su gente, con @susanadiaz 🌹. #MásAndalucía</t>
  </si>
  <si>
    <t>https://twitter.com/sanchezcastejon/status/1063317031582343169
https://twitter.com/PSOE/status/1063172905259950086</t>
  </si>
  <si>
    <t>Sierra Norte, Madrid, España</t>
  </si>
  <si>
    <t>El cielo está enladrillado, ¿quién lo desenladrilará? El desenladrillador que lo desenladrille, buen desenladrillador será.</t>
  </si>
  <si>
    <t>OPINIÓN "Sicabascal" (El SICAB de @Santi_ABASCAL), por @eu_leon @SICABOficial #SICAB18 #BocaPrestada  via @Sevillainf</t>
  </si>
  <si>
    <t>https://wp.me/p9bEmw-amh</t>
  </si>
  <si>
    <t>👉🏻España no es rojo Tezanos, España es verde esperanza, una esperanza llamada VOX  @Santi_ABASCAL @vox_es @voxnoticias_es @ActuaBaleares @jcamposasensi @AzraVox @gsampolfer @paatri_guerrero @MMContesti @idoia_ribas @Ortega_Smith</t>
  </si>
  <si>
    <t>https://www.diaribalear.es/espana-no-es-rojo-tezanos-espana-es-verde-esperanza-una-esperanza-llamada-vox/</t>
  </si>
  <si>
    <t>Rueda de prensa. Santiago Abascal. VOX en Murcia.  vía @YouTube Este @Santi_ABASCAL que es tan feo como Julio Anguita, es el único capacitado para salvar la dignidad de España.</t>
  </si>
  <si>
    <t>Más comentados ahora en Cataluña/Catalanismo: ➀ @InesArrimadas ↑↑ ➁ @Aracelisegarra ↓ ➂ @jcanadellb ↑ ➃ @culebra1978 ↓ ➄ @KRLS ↓ ➅ @pablocasado_ ↓ ➆ @Santi_ABASCAL ↓ ➇ @Albert_Rivera ↓ ➈ @ramoncotarelo ↑↑</t>
  </si>
  <si>
    <t>Beatriz Frias</t>
  </si>
  <si>
    <t>CapItaca Navego</t>
  </si>
  <si>
    <t>Hoy @pablocasado_, @Albert_Rivera, @Santi_ABASCAL e @InesArrimadas, dicen que pintar un portal es violencia... ...alguien recuerda si alguna vez llamaron violencia a esto? RT @planeterito: Hoy @pablocasado_, @Albert_Rivera, @Santi_ABASCAL e @InesArrimadas, dicen que pintar un portal es violencia... ...alguien recuerda si alguna vez llamaron violencia a esto?</t>
  </si>
  <si>
    <t>https://twitter.com/planeterito/status/1062782038934282240</t>
  </si>
  <si>
    <t>pic.twitter.com/2zVgJ1EmuG</t>
  </si>
  <si>
    <t>Només amb una ardent paciència conquerir la esplèndida ciutat que donarà llum, justícia i dignitat a tots els homes. Així la poesia no hi haurà cantat en va.</t>
  </si>
  <si>
    <t>http://page.is/capitacanavego</t>
  </si>
  <si>
    <t>El Puerto de Sta María. España</t>
  </si>
  <si>
    <t>¿Qué estará preparando este memo para las elecciones? Igual descubre la cura de la alopecia ... @CristinaSegui_ @carloscuestaEM @hermanntertsch @esRadio @carlosherreracr @vox_es @Vox_Pozuelo @Santi_ABASCAL @Ortega_Smith @monasterioR @VidalQuadras @isanseba @cakealatake</t>
  </si>
  <si>
    <t>https://pbs.twimg.com/media/DsGZL_yXgAExUEj.jpg</t>
  </si>
  <si>
    <t>Que cada cual haga lo que crea que debe hacer. Suerte con tu miserable vida. @CristinaSegui_ @carloscuestaEM @hermanntertsch @esRadio @carlosherreracr @vox_es @Vox_Pozuelo @Santi_ABASCAL @Ortega_Smith @monasterioR @VidalQuadras @isanseba @cakealatake</t>
  </si>
  <si>
    <t>https://pbs.twimg.com/media/DsGYuIvX4AIA102.jpg</t>
  </si>
  <si>
    <t>¿Qué estaríamos viendo y oyendo en los Kuerdamedia si lo hubiera hecho la derecha? Y buenos días. @CristinaSegui_ @carloscuestaEM @hermanntertsch @esRadio @carlosherreracr @vox_es @Vox_Pozuelo @Santi_ABASCAL @Ortega_Smith @monasterioR @VidalQuadras @isanseba @cakealatake</t>
  </si>
  <si>
    <t>R-Evolución</t>
  </si>
  <si>
    <t>Definición perfecta de populismo Envuelve la pobreza en patria y banderas y tendrás el nuevo fascismo de españa: Vox y Santi Abascal</t>
  </si>
  <si>
    <t>https://pbs.twimg.com/media/DsGXrflXoAIhUdh.jpg</t>
  </si>
  <si>
    <t>https://pbs.twimg.com/media/DsMdK4IWoAAHNTr.jpg</t>
  </si>
  <si>
    <t xml:space="preserve">Murcia </t>
  </si>
  <si>
    <t>no son los rebeldes del mundo los que crean los problemas, son los problemas del mundo los que crean los rebeldes</t>
  </si>
  <si>
    <t>http://www.luchaantignorancia.com</t>
  </si>
  <si>
    <t>Más comentados ahora en Cataluña/Catalanismo: ➀ @jcanadellb ↓ ➁ @InesArrimadas ↓ ➂ @Aracelisegarra ↑ ➃ @JORDINADOR ↑↑ ➄ @pablocasado_ ↑ ➅ @culebra1978 ↑ ➆ @Santi_ABASCAL ↑ ➇ @Albert_Rivera ↑ ➈ @toni_comin ↑</t>
  </si>
  <si>
    <t>Más comentados ahora en Cataluña/Catalanismo: ➀ @Aracelisegarra ↓ ➁ @jcanadellb ↑ ➂ @InesArrimadas ↑ ➃ @pablocasado_ ↑ ➄ @Santi_ABASCAL ↑ ➅ @JoanTarda ↓ ➆ @Albert_Rivera ↑ ➇ @toni_comin ➈ @culebra1978 ↓↓ ➉ @Well086 ↑</t>
  </si>
  <si>
    <t>ALD3ANO 🇪🇸</t>
  </si>
  <si>
    <t>No es que este a favor de todas las ideas de @Santi_ABASCAL pero cuanta razón tiene este señor en este y el siguiente twit....abstenerse los que solo sabeis twittear "facha" gracias. RT @Santi_ABASCAL: HILO VA: Os vamos a mostrar con 2 vídeos un ejemplo práctico de manipulación de @laSextaTV @sextaNoticias que se ha producido ahora mismo. Aquí el vídeo cortado y manipulado suciamente por La Secta:</t>
  </si>
  <si>
    <t>Villarreal, España</t>
  </si>
  <si>
    <t>Intento de streamer 🎮 y FIFA PLAYER para @ESmilodons #GoDons ⚽️ || nº21 MOD || ID - ALD3ANO_96 https://goo.gl/gtqREG</t>
  </si>
  <si>
    <t>http://twitch.tv/ald3ano</t>
  </si>
  <si>
    <t>Más comentados ahora en Cataluña/Catalanismo: ➀ @InesArrimadas ↓ ➁ @jcanadellb ↓ ➂ @Aracelisegarra ➃ @Albert_Rivera ➄ @ramoncotarelo ↓ ➅ @pablocasado_ ↓ ➆ @Santi_ABASCAL ↓ ➇ @KRLS ↓ ➈ @toni_comin ↓ ➉ @culebra1978 ↓↓</t>
  </si>
  <si>
    <t>enrique</t>
  </si>
  <si>
    <t>#vox @Santi_ABASCAL me gustaría saber cuál es vuestra postura respecto a la continuidad de las centrales nucleares españolas más allá de los 40 años. Un saludo!</t>
  </si>
  <si>
    <t xml:space="preserve">Navalmoral </t>
  </si>
  <si>
    <t>God Save My Swing</t>
  </si>
  <si>
    <t>Pegada virtual de carteles en Sevilla. Comienza la campaña. Comienza la Reconquista. @Santi_ABASCAL A trabajar por España desde Andalucia!</t>
  </si>
  <si>
    <t>https://pbs.twimg.com/media/DsFPWE6WsAEutlC.jpg</t>
  </si>
  <si>
    <t>Padre y marido, loco por el golf, economista y empresario, loco por el golf, español y sevillano, loco por el golf, y además... propietario God Save My Swing</t>
  </si>
  <si>
    <t>http://www.godsavemyswing.es</t>
  </si>
  <si>
    <t>Luis Corujo</t>
  </si>
  <si>
    <t>Después de quedar brutalmente demostrado que @sextaNoticias y @laSextaTV han manipulado brutalmente lo dicho por @Santi_ABASCAL y qué el zasca se oyera en Pekín, volverme a decir que no hay manipulación #comunista en España RT @Santi_ABASCAL: HILO VA: Os vamos a mostrar con 2 vídeos un ejemplo práctico de manipulación de @laSextaTV @sextaNoticias que se ha producido ahora mismo. Aquí el vídeo cortado y manipulado suciamente por La Secta:</t>
  </si>
  <si>
    <t>Guardia Civil en Activo. Graduando en Psicología. Defensor del orden Constitucional ; enamorado de mi país y mi trabajo. Viva el Rey, el Orden y la Ley 🇪🇸</t>
  </si>
  <si>
    <t>http://www.guardiacivil.es</t>
  </si>
  <si>
    <t>pic.twitter.com/hD7v0j4Mus</t>
  </si>
  <si>
    <t>🔴 Este Gobierno del @PSOE de @sanchezcastejon, líder del Frente Popular, AMENAZA de MUERTE través de sus nuevas milicias comunistas y golpistas, con repetir los execrables crímenes de #Paracuellos. #DespiertaESPAÑA @Santi_ABASCAL @vox_es @PoderJudicialEs @fiscal_es #Ley 🙏‼️</t>
  </si>
  <si>
    <t>https://pbs.twimg.com/media/DsFKZTUXcAAYiML.jpg</t>
  </si>
  <si>
    <t>Ôrâzel</t>
  </si>
  <si>
    <t>Pues a mi, Ortega Lara me parece un tipo auténtico y fantástico. @Santi_ABASCAL Alguna vez ojeaba El Jueves en el pasado, pero por este tipo de valoraciones tan escoradas e irrespetuosaa dejé de hacerlo hace mucho. Viendo ahora ésta sobre OL, hice bien. Buen viernes. RT @eljueves: Ortega Lara, la enésima prueba de que ser víctima de algo no te exime de ser imbécil.</t>
  </si>
  <si>
    <t>https://twitter.com/eljueves/status/1063023450049208320</t>
  </si>
  <si>
    <t>https://pbs.twimg.com/media/DsCeMFqWoAAxkAU.jpg</t>
  </si>
  <si>
    <t>Cielo</t>
  </si>
  <si>
    <t>Proteger a los hombres, también de los hombres. Somos miríadas. 🌍🇪🇸👥💙</t>
  </si>
  <si>
    <t>Mario gomez</t>
  </si>
  <si>
    <t>Muy lamentable @laSextaTV una vez mas. En un discurso de @Santi_ABASCAL donde él mismo avisa que lo van a manipular, coge el periodismo y lo manipula. Yo soy de @CiudadanosCs ,pero primero soy una persona cada dia mas preocupada de la calidad del cuarto poder. A mi no me la dan.</t>
  </si>
  <si>
    <t>Antonio El Nolo</t>
  </si>
  <si>
    <t>La pocilga de @laSextaTV y @sextaNoticias se tragaron el anzuelo hasta el gaznate. Y el gran @Santi_ABASCAL se la ha metido bien adentro. Primer PRE-ZASCA de la historia. Periodismo sin escrúpulos y creador de odio. Cavando viñas tendrían que estar estos apesebrados. RT @Santi_ABASCAL: HILO VA: Os vamos a mostrar con 2 vídeos un ejemplo práctico de manipulación de @laSextaTV @sextaNoticias que se ha producido ahora mismo. Aquí el vídeo cortado y manipulado suciamente por La Secta:</t>
  </si>
  <si>
    <t>Un tío hecho y derecho q sabe q España es una, grande y libre, Viva España! Viva la Guardia Civil! Viva su bandera roja y gualda! y Viva la punta de mi carajo!!</t>
  </si>
  <si>
    <t>Más comentados ahora en Cataluña/Catalanismo: ➀ @InesArrimadas ↑ ➁ @jcanadellb ↓ ➂ @ramoncotarelo ↓ ➃ @Aracelisegarra ↑ ➄ @pablocasado_ ↑ ➅ @Santi_ABASCAL ↑ ➆ @Albert_Rivera ↑ ➇ @culebra1978 ↓ ➈ @PSOE ↓ ➉ @324cat ↓</t>
  </si>
  <si>
    <t>La Fed. Andaluza de Caza, dentro de su campaña #LaCazaTambiénVota, celebrará un acto público, en el que participará nuestro Presidente Santi Abascal. Miércoles 21 a las 19h en NH Collection, Sevilla. 🔔 XUU Sublevamiento, EL PROBLEMA Y LA SOLUCIÓN,</t>
  </si>
  <si>
    <t>#EspañaLoPrimero</t>
  </si>
  <si>
    <t>Todo mi apoyo y solidaridad con estos españoles de bien... no te da vergüenza @sanchezcastejon ??? No te va a dar lo que nunca conociste "Okupa de la Moncloa"... Sois muy grandes... #EspañaViva @Santi_ABASCAL @vox_es RT @MarcoChiazza: Voiuntarios con caretas de Dalí limpiando las pintadas de @Arran_jovent en casa del juez Llarena. “Con caretas de un pintor español y catalán limpiamos lo que la administración todavía no ha hecho”.</t>
  </si>
  <si>
    <t>https://twitter.com/MarcoChiazza/status/1062839810694545409</t>
  </si>
  <si>
    <t>pic.twitter.com/6O1vlaVhpd</t>
  </si>
  <si>
    <t>Autónomo, Liberal-Conservador, Orgulloso de Ser Español y Harto de lo Políticamente Correcto... facha para los indigentes intelectuales progres. Hala Madrid!!!</t>
  </si>
  <si>
    <t>EN EL PP ES CORRUPTO HASTA EL GATO...TODOS A VOTAR A @Santi_ABASCAL @pedroj_ramirez @AdanEsmit RT @diario6com: El jefe de prensa de Pablo Casado está imputado por fraude, malversación y tráfico de influencias</t>
  </si>
  <si>
    <t>https://twitter.com/diario6com/status/1063172537562161152
http://diario6.com/el-jefe-de-prensa-de-pablo-casado-esta-imputado-por-fraude-malversacion-y-trafico-de-influencias/</t>
  </si>
  <si>
    <t>https://www.youtube.com/watch?v=xJ6HxMtQ-Ww</t>
  </si>
  <si>
    <t>La Fed. Andaluza de Caza, dentro de su campaña #LaCazaTambiénVota, celebrará un acto público, en el que participará nuestro Presidente Santi Abascal. Miércoles 21 a las 19h en NH Collection, Sevilla. ✔️ FQY Democracy, NoTeLoPierdas, SECESIÓN, AHORA,</t>
  </si>
  <si>
    <t>Voy a corregir esto: Está claro es que no hay otro líder político en España que sea tan racista sobre los inmigrantes como lo es @Santi_ABASCAL De nada, @vox_es ;) RT @Miotroyo2parte: Podrá gustar más o menos @vox_es, pero lo que está claro es que no hay otro líder político en España que hable tan claro sobre inmigración como lo hace @Santi_ABASCAL. Eso es así.</t>
  </si>
  <si>
    <t>M Angel - Hablamos Español</t>
  </si>
  <si>
    <t>Stop inmigración ilegal Stop INVASIÓN Stop tráfico seres humanos @georgesoros @AngelaMerkeICDU @psoe @sanchezcastejon @tajani @TimmermansEU @Europarl_ES @UEmadrid @PrensaCE @UNIONEUROPEA @JunckerEU @EU_Commission @Santi_ABASCAL @vox_es @sebastiankurz @matteosalvinimi RT @5chuspis: 🔴 España registra en oct el 60% d inmigrantes ilegales detectados n toda la UE 🔴Sin contar ls q llegaron n avión dsd Alemania y los q Francia dejó n la frontera 9.500 inmigrantes irregulares llegaron dsd el norte d África a Esp durante el pasado oct</t>
  </si>
  <si>
    <t>https://twitter.com/5chuspis/status/1063015273626767369
https://www.elconfidencial.com/mundo/2018-11-14/espana-registra-en-octubre-el-60-inmigrantes-ilegales-detectados-en-toda-la-ue_1646798/?utm_campaign=BotoneraWebapp&amp;utm_source=twitter&amp;utm_medium=social</t>
  </si>
  <si>
    <t>#FUERAAUTONOMIAS. España Estado unitario como Francia y Portugal, por ejemplo. Igualdad derechos y deberes de todos los españoles, sin importar dónde vivan.</t>
  </si>
  <si>
    <t>Cuke Zapater</t>
  </si>
  <si>
    <t>En un alarde de la ética y calidad periodística de la que presume @_anapastor_, en su próximo programa @ObjetivoLaSexta criticará la manipulación del video de @Santi_ABASCAL Ups, que el responsable es su marido y trabajan en la misma cadena...</t>
  </si>
  <si>
    <t>Las Batuecas</t>
  </si>
  <si>
    <t>Quise ser músico, quise ser arquitecto, quise ser informático, quise ser maestro y me recordaron que sólo puedo ser yo.</t>
  </si>
  <si>
    <t>http://cukecito.blogspot.com</t>
  </si>
  <si>
    <t>Más comentados ahora en Cataluña/Catalanismo: ➀ @InesArrimadas ↓ ➁ @ramoncotarelo ↑ ➂ @jcanadellb ↓ ➃ @Aracelisegarra ↑ ➄ @324cat ↑ ➅ @pablocasado_ ↑ ➆ @Albert_Rivera ↑ ➇ @Santi_ABASCAL ↑ ➈ @KRLS ↑ ➉ @socialistes_cat ↑</t>
  </si>
  <si>
    <t>La Fed. Andaluza de Caza, dentro de su campaña #LaCazaTambiénVota, celebrará un acto público, en el que participará nuestro Presidente Santi Abascal. Miércoles 21 a las 19h en NH Collection, Sevilla. 🔔 ILV ACCIÓN GRADUAL, ORGANIZAR LA DECENCIA,</t>
  </si>
  <si>
    <t>https://twitter.com/alonso_dm/status/1063061372873908225</t>
  </si>
  <si>
    <t>pic.twitter.com/1tLSpbkLQK</t>
  </si>
  <si>
    <t>La Fed. Andaluza de Caza, dentro de su campaña #LaCazaTambiénVota, celebrará un acto público, en el que participará nuestro Presidente Santi Abascal. Miércoles 21 a las 19h en NH Collection, Sevilla. ✔️ PIK Docilidad, DEMOCRACIA FORMAL, OPINIÓN PÚBLICA,</t>
  </si>
  <si>
    <t>Carlos Chacón</t>
  </si>
  <si>
    <t>Lo que ha pasado en Murcia es de absoluta vergüenza. Es indignante que una generación de mimados salga a la calle a pedir la vuelta al calvario a un Héroe y la muerte de TODOS los que iban a ver a VOX Pero citando a @Santi_ABASCAL "Sus insultos, nuestras medallas" @vox_es 🇪🇸🇪🇸</t>
  </si>
  <si>
    <t>Estudiante de Enfermería en la Universidad Europea de Madrid. Entre La Línea y Madrid. Amante de la historia, la política,la música y a ratos soy escritor. #VOX</t>
  </si>
  <si>
    <t>espainiakobeldurrikgabe</t>
  </si>
  <si>
    <t>Grande @Santi_ABASCAL en #murcia. Ningún partido es capaz de movilizar como lo está haciendo @vox_es. Cansados de políticos mediocres, independentistas, proetarras, chavistas y #ninis de extrema izquierda RT @vox_es: 📹 La fuerza de la #EspañaViva 🇪🇸 ha quedada demostrada hoy en Murcia 💪</t>
  </si>
  <si>
    <t>https://twitter.com/vox_es/status/1062873815246688256</t>
  </si>
  <si>
    <t>pic.twitter.com/KEJ4CWltRa</t>
  </si>
  <si>
    <t>Doliente de la situación actual de #España: separatistas, podemitas, proetarras, moros y políticos mediocres 🇪🇸🇪🇸🇪🇸🇪🇸🇪🇸🇪🇸🇪🇸</t>
  </si>
  <si>
    <t>YO 🙋🏻‍♂️ Æ 🇪🇸</t>
  </si>
  <si>
    <t>Por esto y por muchas cosas más hay que votar a @vox_es @Santi_ABASCAL #EspañaLoPrimero</t>
  </si>
  <si>
    <t>https://pbs.twimg.com/media/DsExRCjX0AAIK_V.jpg</t>
  </si>
  <si>
    <t>El objetivo es vivir y dejar vivir. Æ 🇪🇸</t>
  </si>
  <si>
    <t>Que casi jajaja. Osea, x ejemplo, las de @alonso_dm, @Santi_ABASCAL, @Absolutexe, @_SantosTrinidad, @CasoAislado_Es, @ElAguijon_, @hermanntertsch, @CristinaSegui_, @PhilAMellows, @WharfRat_DE, ..., la tuya, la mía... Y la de @realDonaldTrump Increíble😂 RT @xataka: Facebook va a invisibilizar las publicaciones que "casi" violan sus condiciones de uso</t>
  </si>
  <si>
    <t>https://twitter.com/xataka/status/1063177361129197574
https://www.xataka.com/p/210848</t>
  </si>
  <si>
    <t>https://pbs.twimg.com/media/DsEqLNkX0AAvxaq.jpg</t>
  </si>
  <si>
    <t>jose perez nuñez 🇪🇸</t>
  </si>
  <si>
    <t>AJJAJAJAJAJAJJAJAJ que grande eres @Santi_ABASCAL dando zascas a la @sextaNoticias y sin vaselina todo pa dentro RT @Santi_ABASCAL: HILO VA: Os vamos a mostrar con 2 vídeos un ejemplo práctico de manipulación de @laSextaTV @sextaNoticias que se ha producido ahora mismo. Aquí el vídeo cortado y manipulado suciamente por La Secta:</t>
  </si>
  <si>
    <t>por sentirte español te dicen facha por querer proteger a tu familia, tu país, tu cultura, tus costumbres de salvajes te dicen racista..soy muy facha y racista.</t>
  </si>
  <si>
    <t>José A. Labodía 🇪🇸</t>
  </si>
  <si>
    <t>Y luego resultará que los "fascistas" son @vox_es y @Santi_ABASCAL. Esos del escrache, son simplemente "buenos chicos antifascistas" que pasaban por allí</t>
  </si>
  <si>
    <t>https://www.elindependiente.com/politica/2018/11/15/escrache-ortega-lara-acto-vox-murcia-acaba-dos-detenidos/</t>
  </si>
  <si>
    <t>Vallecas (Madrid)</t>
  </si>
  <si>
    <t>Ciudadano de esta España que llevo en el corazón. Experto en SEGURIDAD con mayúsculas. Y además de Caspe en el Reino de Aragón (maño vamos) ¿Y?</t>
  </si>
  <si>
    <t>http://paseanteupd.blogspot.com</t>
  </si>
  <si>
    <t>José L. Rodrigo</t>
  </si>
  <si>
    <t>Ánimo don Francisco. Tiene desde esta noche quince días agotadores e igualmente ilusionantes por delante. Gracias por su esfuerzo. Y @Santi_ABASCAL, @monasterioR y @Ortega_Smith, ayúdenle. RT @FSerranoCastro: Desde VOX transformaremos el Estado autonómico despilfarrador en un Estado de derecho unitario con un solo gobierno y un solo parlamento para toda España. Pediremos la devolución inmediata al Estado de las competencias de educación, sanidad y justicia. Andalucía por España</t>
  </si>
  <si>
    <t>https://twitter.com/FSerranoCastro/status/1063176977258086400</t>
  </si>
  <si>
    <t>VOX. Cañas por España. Anoche en Sevilla con Santi Abascal.</t>
  </si>
  <si>
    <t>Guecho, Vizcaya (España)</t>
  </si>
  <si>
    <t>Progenitor de Cristóbal: menor huérfano de padre vivo. Lambrettari: prefiero empujar una Lambretta que montar en una vespa</t>
  </si>
  <si>
    <t>https://www.instagram.com/p/BqQqAGfgyxH/?utm_source=ig_share_sheet&amp;igshid=1gl9j571alj5a</t>
  </si>
  <si>
    <t>Miguel Ángel Carmona 🇪🇸</t>
  </si>
  <si>
    <t>Ánimo para todo el equipo @Santi_ABASCAL especialmente a Ortega Lara. Saludos desde Málaga</t>
  </si>
  <si>
    <t>Málaga la bella</t>
  </si>
  <si>
    <t>Gran Reserva del 87. La antigüedad y la modernidad en mi día a día. Run, trail, mtb. 🇪🇸</t>
  </si>
  <si>
    <t>Keirgrand</t>
  </si>
  <si>
    <t>Acabo de ver #AnimalesFantásticos y me ha quedado una cosa clara: Grindelwald es el Santi Abascal mágico.</t>
  </si>
  <si>
    <t>Más comentados hoy en Cataluña/Catalanismo: ➀ @ramoncotarelo ↑↑↑↑ ➁ @InesArrimadas ↑↑ ➂ @gallifantes ↑↑ ➃ @sanchezcastejon ↑ ➄ @Albert_Rivera ↑↑↑ ➅ @jcanadellb ↑ ➆ @pablocasado_ ↓ ➇ @Santi_ABASCAL ↑↑↑ ➈ @KRLS ↑</t>
  </si>
  <si>
    <t>https://pbs.twimg.com/media/DsEr0PTW4AAPczs.jpg</t>
  </si>
  <si>
    <t>¿Biografía? Mejor te compras mi libro por 23,95€ más IVA.</t>
  </si>
  <si>
    <t>https://pbs.twimg.com/media/DsDgIMTWkAAxAcn.jpg</t>
  </si>
  <si>
    <t>CAPITAN EXTREMEÑO 💚</t>
  </si>
  <si>
    <t>Yo quiero a este hombre de presidente @Santi_ABASCAL @vox_es @VOX_Caceres @VOX_Badajoz @voxnoticias_es #Extremadura #TrenDignoYa</t>
  </si>
  <si>
    <t>pic.twitter.com/ZarYgeTgHL</t>
  </si>
  <si>
    <t>Extremadura, España</t>
  </si>
  <si>
    <t>😀 Pequeño Youtuber que le gusta las emergencias http://youtube.com/watch?v=IEncyU…</t>
  </si>
  <si>
    <t>En @la2_tve pusieron "El gran dictador". Ah, no, que eran las noticias. Echa un vistazo al Tweet de @Santi_ABASCAL: RT @Santi_ABASCAL: HILO VA: Os vamos a mostrar con 2 vídeos un ejemplo práctico de manipulación de @laSextaTV @sextaNoticias que se ha producido ahora mismo. Aquí el vídeo cortado y manipulado suciamente por La Secta:</t>
  </si>
  <si>
    <t>https://twitter.com/Santi_ABASCAL/status/1063066152648228866?s=09</t>
  </si>
  <si>
    <t>Jose Ignacio Delgado</t>
  </si>
  <si>
    <t>Hola @malditobulo, una pregunta. Por qué callais como putas ante la manipulación en la @sextaNoticias sobre el vídeo de @Santi_ABASCAL y @vox_es En el que cortan su mensaje a la mitad? Todo el día dando la murga con el "que no te la cuelen" pero cuando la cuelan los rojos callais</t>
  </si>
  <si>
    <t>https://www.infojobs.net/joseignacio-delgado-garcia.prf</t>
  </si>
  <si>
    <t>No, no soy fan de @Santi_ABASCAL pero ayer pusieron "El gran dictador" en @la2_tve y esto me recuerda a muchas escenas. RT @Santi_ABASCAL: ...y aquí el vídeo sin cortar que la propaganda de guerra de @laSextaTV no ha querido emitir. Sabíamos que ibais a manipularlo sin escrúpulos. 😂😂</t>
  </si>
  <si>
    <t>Alex🇪🇸🇪🇸</t>
  </si>
  <si>
    <t>Viva la "libertad de expresión" 😭😭😭 q tienen la mayoría con @Santi_ABASCAL de @vox_es RT @Jose_Ajero: Vistas las reacciones populares contra VOX... De verdad, no puedo entender la presencia de este personaje en una gran emisora deportiva como @RadioMARCA. #IntoleranteConLaIntolerancia</t>
  </si>
  <si>
    <t>https://twitter.com/Jose_Ajero/status/1063163626675167238</t>
  </si>
  <si>
    <t>https://pbs.twimg.com/media/DsEdrdZXgAAmvX7.jpg</t>
  </si>
  <si>
    <t>NADIE POR ENCIMA DEL CLUB #MERITOCRACIA Colaborador de @eldiariodemou y aportando en #AlBlancoVivo #ArbeloaCAP17AN #HalaMadrid #JMTR #VivaEspaña🇪🇸🇪🇸</t>
  </si>
  <si>
    <t>]Lucy[</t>
  </si>
  <si>
    <t>Condenarán @Albert_Rivera @Santi_ABASCAL @pablocasado_ la aplogia y el enaltecimiento de traidores y asesinos?  vía @eldiarioes</t>
  </si>
  <si>
    <t>https://m.eldiario.es/_31d646be</t>
  </si>
  <si>
    <t>ØH</t>
  </si>
  <si>
    <t>Cuando tropiece Santi Abascal no os riáis, cabrones. XD</t>
  </si>
  <si>
    <t>zaragotham</t>
  </si>
  <si>
    <t>Vila del Pingüí, La República</t>
  </si>
  <si>
    <t>Des de 1980, Bcn. ✎. http://open.spotify.com/user/ohriol</t>
  </si>
  <si>
    <t>Más comentados ahora en Cataluña/Catalanismo: ➀ @InesArrimadas ↑ ➁ @jcanadellb ↓ ➂ @ramoncotarelo ↑ ➃ @pablocasado_ ➄ @Santi_ABASCAL ➅ @Albert_Rivera ↓ ➆ @Aracelisegarra ↑ ➇ @324cat ↑ ➈ @sanchezcastejon ↓</t>
  </si>
  <si>
    <t>Porque no denunciais a este medio? Cn este vídeo y el d Sánchez de sevilla? Están cagaos...@vox_es @Santi_ABASCAL @Ortega_Smith @https://www.libertaddigital.com/espana/2018-11-15/grosera-manipulacion-de-la-sexta-con-el-acto-de-vox-abascal-llego-a-amenazar-con-salir-1276628314/</t>
  </si>
  <si>
    <t>Ale Rodríguez</t>
  </si>
  <si>
    <t>Muy interesante la charla-coloquio de @vox_es con @Santi_ABASCAL @Ortega_Smith en el Hotel Meliá Los Lebreros, con una gran afluencia de público. Cada día más identificado con VOX y su programa electoral. La novedad es que no haya habido incidentes por parte de los de siempre.</t>
  </si>
  <si>
    <t>https://pbs.twimg.com/media/DsEk3uCWoAAk9Ra.jpg</t>
  </si>
  <si>
    <t>Gol Sur del Benito Villamarín</t>
  </si>
  <si>
    <t>Ante las dificultades, fortaleza. En las alegrías, humildad ...y siempre confianza. Por encima del BETIS solo está Dios</t>
  </si>
  <si>
    <t>👉🏻Emilia Landaluce deja pequeña la sede de Societat Civil Balear para presentar su libro “No somos fachas, somos españoles”  @SCBalear @Sa_Fundacio @eslamananadeFJL @elmundoes @xpericay @ballesternebot @mosmovem @Ursulamascaro11 @GomaMariano @Santi_ABASCAL</t>
  </si>
  <si>
    <t>https://www.diaribalear.es/emilia-landaluce-deja-pequena-la-sede-de-societat-civil-balear-para-presentar-su-libro-no-somos-fachas-somos-espanoles/</t>
  </si>
  <si>
    <t>Flanagan McPhee</t>
  </si>
  <si>
    <t>Bertín Osborne, Pablo Casado, Santi Abascal y Albert Rivera cantando el himno de España de Marta Sánchez a cuatro voces y a Capella para Eurovisión 2018. Pensadlo.</t>
  </si>
  <si>
    <t>Tristan DM</t>
  </si>
  <si>
    <t>Futuro presidente sr,@Santi_ABASCAL para los militares tiene algo de igualdad pensado ? No harán promesas falsas como el @PSOE no? Viva España 🇪🇸 !</t>
  </si>
  <si>
    <t>Encima de tu hombro. El otro.</t>
  </si>
  <si>
    <t>Me hice oso para no tener que explicar por qué estoy gordo. Tengo un libro en tiendas que se llama "Manual del Perfecto Dejado" y es mú bonico.</t>
  </si>
  <si>
    <t>https://www.amazon.es/Manual-del-perfecto-dejado-Cuentos/dp/8417284486/ref=as_li_ss_tl?ie=UTF8&amp;linkC</t>
  </si>
  <si>
    <t>Atlético de corazón, de risa facil y buena persona en general ,xD amante del género zombi 🧟‍♂️, repulsa a la violencia de genero de cualquier tipo</t>
  </si>
  <si>
    <t>Sr @Santi_ABASCAL diga a su colega NAZI el Lara que los matones y terroristas están en las filas de @vox_es Aqui tiene 1 ejemplo de un maton terrorista amigo del Lara y de usted.</t>
  </si>
  <si>
    <t>https://youtu.be/b9DcLpJbsjQ</t>
  </si>
  <si>
    <t>Conquistador facha ❌</t>
  </si>
  <si>
    <t>Los cachorros comunistas proetarras de Podemos en Murcia. ¡Hay que votar a @vox_es 🇪🇸, lo tengo claro! Ánimo @Santi_ABASCAL 🇪🇸 Video @elmundoes ⤵️</t>
  </si>
  <si>
    <t>VOX Torrevieja</t>
  </si>
  <si>
    <t>pic.twitter.com/63KN1egB4c</t>
  </si>
  <si>
    <t>REINO DE ESPAÑA</t>
  </si>
  <si>
    <t>Conquistador, porque soy un enamorado de la Historia de España. Facha, porque... ¿quien no es un facha hoy en día? ¡Morrión y Alano!</t>
  </si>
  <si>
    <t>Torrevieja, España</t>
  </si>
  <si>
    <t>🇪🇸 Cuenta oficial de @vox_es en #Torrevieja 📧 info@alicante.voxespana.es 📱 682844459</t>
  </si>
  <si>
    <t>Bella Indómita 🦁</t>
  </si>
  <si>
    <t>Ya solo falta que me sigan aquí @Santi_ABASCAL @crpandemonium y @JOSEMANUELSOTO1 y seré feliz 😁</t>
  </si>
  <si>
    <t>Madriz, Barcelona, Alicante</t>
  </si>
  <si>
    <t>La política me pone. Me muerdo los labios porque la lengua no puedo. Intolerancia al buenismo. Soy 6 pecados capitales. #MuerteYDestrucción #ContraGéneros</t>
  </si>
  <si>
    <t>http://www.bellaindomita.com</t>
  </si>
  <si>
    <t>Fernando III</t>
  </si>
  <si>
    <t>Ya lo dijo @Santi_ABASCAL los que no son comunistas, somos fachas. RT @libertaddigital: Si el antifascismo es gritar "os mataremos como en Paracuellos" o "Ortega Lara de vuelta al zulo", dice muchas cosas de los que se hacen llamar a sí mismo antifascistas.</t>
  </si>
  <si>
    <t>https://twitter.com/libertaddigital/status/1062994120594071553
https://www.libertaddigital.com/espana/2018-11-14/ultras-de-izquierda-boicotean-el-acto-de-vox-en-murcia-os-mataremos-como-en-paracuellos-1276628249/</t>
  </si>
  <si>
    <t>La Libertad es el único objetivo digno del sacrificio de la vida de los hombres. Ahora que la tienes, no consientas que te la quiten.</t>
  </si>
  <si>
    <t>the big fundamental</t>
  </si>
  <si>
    <t>Vergonzoso como @laSextaTV manipula todo lo que toca. Lo que no saben es que con todas estas fake news, no debilitan a vox, lo único que hacen es alimentar y crear odio hacia un partido que todo lo que hace es por y para España. @vox_es @canasporespana @Santi_ABASCAL RT @alonso_dm: El programa de fake news de Ferreras habla de «amenaza» y corta el momento en el que Abascal dice que está hablando en broma, lo mismo que le hacen a Trump en EEUU. Nivel informativo de Los Simpson.</t>
  </si>
  <si>
    <t>https://twitter.com/alonso_dm/status/1063077473959714816</t>
  </si>
  <si>
    <t>pic.twitter.com/U4VNtviqdA</t>
  </si>
  <si>
    <t>cehegin</t>
  </si>
  <si>
    <t>ingeniero en informática:loading 15%, Apasionado de los videojuegos,el deporte y el heavy metal. A veces me da por hablar de politica y debatir sobre todo</t>
  </si>
  <si>
    <t>Fátima A.☂ #T@vox_es</t>
  </si>
  <si>
    <t>.@vox_sevilla Gonzalo Altozano @Santi_ABASCAL ¿qué ha pasado para que de un banquito de hace 4 años a ahora? "Hemos sido constantes y nuestro mensaje ha calado" "El el miting de BNC de Junio,me acordé de mi padre y pensé: esto es ya imparable" #LaEspañaViva #AndaluciaporEspaña 🇪🇸</t>
  </si>
  <si>
    <t>Defensora de los derechos humanos y la paz.Las personas antes que lo económico.Con la vida no se comercializa y,con el futuro de las personas y su dinero,mucho-</t>
  </si>
  <si>
    <t>Antidoto Al Caos</t>
  </si>
  <si>
    <t>Esa foto me recuerda a algo...🧐 Ah! Si! A lo que llevan haciendo @Ortega_Smith y @Santi_ABASCAL durante más de un año! Acaban de demostrar que no son más que una copia de @vox_es Esa denuncia es un acto que aplaudo, pero Cs llega un año tarde al juego</t>
  </si>
  <si>
    <t>http://ver.abc.es/qi4li1</t>
  </si>
  <si>
    <t>Español. Políticamente incorrecto en una sociedad en la que el caos es lo correcto 🤨</t>
  </si>
  <si>
    <t>Más comentados ahora en Cataluña/Catalanismo: ➀ @jcanadellb ↑ ➁ @InesArrimadas ↓ ➂ @ramoncotarelo ↓ ➃ @pablocasado_ ↑ ➄ @Santi_ABASCAL ↑ ➅ @Albert_Rivera ➆ @gallifantes ↓ ➇ @KRLS ➈ @CiutadansCs ↑ ➉ @culebra1978 ↓</t>
  </si>
  <si>
    <t>Con la diferencia, como mínimo, de que yo soy seré leal a España 😉 RT @carmentorrres: Por mucho que les moleste a los dos, a mí este auge de @vox_es me recuerda mucho al origen de @ahorapodemos y la figura de @Santi_ABASCAL a la del primer @Pablo_Iglesias_, rollo superstar para sus fans</t>
  </si>
  <si>
    <t>Fundación LIBRE</t>
  </si>
  <si>
    <t>Nuestro Presidente @AgustinLaje y @NickyMarquez1 junto al dirigente de @vox_es y líder de la derecha española @Santi_ABASCAL ¿Lo traemos para Argentina?</t>
  </si>
  <si>
    <t>https://pbs.twimg.com/media/DsEY69YW4AAG_mc.jpg</t>
  </si>
  <si>
    <t>Argentina</t>
  </si>
  <si>
    <t>Think tank contra el marxismo cultural y la hegemonía del progresismo. Presidente: @AgustinLaje</t>
  </si>
  <si>
    <t>http://www.fundacionlibre.org.ar</t>
  </si>
  <si>
    <t>Lleno otra vez. A ver si luego cuando lleguen las elecciones no empezamos con los mieditos. #VOXAvanza @Santi_ABASCAL @vox_es @VOXSevilla</t>
  </si>
  <si>
    <t>https://pbs.twimg.com/media/DsEYa7cX4AIKPUe.jpg</t>
  </si>
  <si>
    <t>Alexurg112</t>
  </si>
  <si>
    <t>"La secta" no tiene ya ni argumentos, ni vergüenza. No sabe con qué atacar a @Santi_ABASCAL y a @vox_es. Es una muestra de debilidad. Y lo mejor es señalarlo inmediatamente, no hay que callarse. Adelante con todo</t>
  </si>
  <si>
    <t>Jose Luis Callejon</t>
  </si>
  <si>
    <t>Hoy en día parece que deshonrar a España está de moda , si respetas tu bandera , si defiendes al rey , si amas a tu patria ya te llaman facha , pues si por eso me llaman facha espero que me lo digan todos los días. Orgulloso de mi país y de mi rey 🇪🇸🇪🇸 @Santi_ABASCAL @vox_es</t>
  </si>
  <si>
    <t>Viva España 🇪🇸</t>
  </si>
  <si>
    <t>Ese Akise reshu</t>
  </si>
  <si>
    <t>.@Santi_ABASCAL deja de chupar del bote y trabaja como todos, pesado!</t>
  </si>
  <si>
    <t>Humanista y L[G]BT. Soy representante de estudiantes y tal, pero si lo digo muy alto me linchan. También lucho por los derechos de los sándwiches mixtos 🥪.</t>
  </si>
  <si>
    <t>https://www.youtube.com/watch?v=fMWSUr7NbQY</t>
  </si>
  <si>
    <t>Aquí estamos. Con @Santi_ABASCAL @Ortega_Smith @FSerranoCastro @VOXSevilla @rromerovilches @monasterioR</t>
  </si>
  <si>
    <t>https://pbs.twimg.com/media/DsETI57XgAEPI31.jpg</t>
  </si>
  <si>
    <t>Vandals RCD</t>
  </si>
  <si>
    <t>Lo dice el que abandonó Twitter desde que el Deportivo marca goles😂😂😂 Ánimo Santi Abascal!!! RT @andrade__10: Parece que a este memo no le ha llegado con que el Twitter del celta le haya dejado en ridículo ayer😂😂😂 Menos mal que no eres del Depor, si no me daría tiña compartir algo con este.</t>
  </si>
  <si>
    <t>https://twitter.com/andrade__10/status/1063524666671853573
https://twitter.com/VandalsRCD1/status/1063523251203264515</t>
  </si>
  <si>
    <t>Only RCD</t>
  </si>
  <si>
    <t>El @PPopular va por buen camino... @vox_es recogerá los frutos con @Santi_ABASCAL al frente de la alternativa nacional. Adelante por España. RT @AndresSanto_: Maillo sobre Franco: "Que lo saquen cuanto antes, a mi abuelo le pegaron un tiro los franquistas"  vía @elespanolcom</t>
  </si>
  <si>
    <t>https://twitter.com/AndresSanto_/status/1063150171008233473
https://www.elespanol.com/espana/politica/20181115/maillo-franco-saquen-abuelo-pegaron-tiro-franquistas/353465282_0.html</t>
  </si>
  <si>
    <t>Vox Terrassa</t>
  </si>
  <si>
    <t>🔴 ¡Mañana viernes nos vamos de Cañas con Santiago Abascal @Santi_ABASCAL en SEVILLA! Ha sido inesperado, pero esta tarde de fin de semana no será de las que se olvidan fácilmente, ¡no te…</t>
  </si>
  <si>
    <t>https://www.instagram.com/p/BqNcRbLARaU/?utm_source=ig_twitter_share&amp;igshid=mytne6a66yn5</t>
  </si>
  <si>
    <t>Mi Querida España +=+=</t>
  </si>
  <si>
    <t>Los de La Secta leninista están agachaos calladitos 😂😂😂😂😂😂😂😂😂😂 @vox_es la Esperanza! ¡@Santi_ABASCAL y Viva España!</t>
  </si>
  <si>
    <t>Terrassa, España 🇪🇸</t>
  </si>
  <si>
    <t>Cuenta oficial de VOX Terrassa. #VOXAvanza #VOXÚtil #AHORAVox</t>
  </si>
  <si>
    <t>¡Con El Rey, por España! Filántropo #TABARNIA @vox_es V.E.R.D.E. 🇪🇸 ¡Viva España!</t>
  </si>
  <si>
    <t>El EsPaÑoL🇪🇸</t>
  </si>
  <si>
    <t>Enorme 👏👏👏 una vez más @Santi_ABASCAL en el acto de Murcia tras el intento de boicot de un grupo de extrema izquierda.</t>
  </si>
  <si>
    <t>pic.twitter.com/9l5DmVU4El</t>
  </si>
  <si>
    <t>El Valle de los Caidos, España</t>
  </si>
  <si>
    <t>EL SOCIALISMO FRACASA👎CUANDO SE ACABA EL 💶 DE LOS DEMÁS. Los únicos P⭕DEMITAS de PODEM⭕S ✊ son sus ignorantes votantes❗ VIVA ESPAÑA❗✋🇪🇸 @vox_es y @atleti</t>
  </si>
  <si>
    <t>MásPortal &amp; MásAlicante</t>
  </si>
  <si>
    <t>Nadie debería pasar por lo q paso este hombre, todo el q grita contra Ortega Lara q vuelva a zulo, debería vivir un solo mes y entenderían perfectamente lo que sufrió este hombre, me parece inadmisible en lo que se ha convertido esta sociedad. @Ortega_Smith @Santi_ABASCAL @vox_es RT @danicaballero90: Casi dos años estuvo Ortega Lara secuestrado en este pequeño zulo de a penas 3 metros cuadrados. Ayer, decenas de simpatizantes de Podemos le gritaban "Ortega Lara, de vuelta al zulo". Cualquiera con dos dedos de frente entendería por qué me dan asco.</t>
  </si>
  <si>
    <t>https://twitter.com/danicaballero90/status/1063022412093120512</t>
  </si>
  <si>
    <t>pic.twitter.com/KQCkNUISQ4</t>
  </si>
  <si>
    <t>Toda la información de Alicante Marina Alta &amp; Baixa y la Comunidad Valenciana. MUCHO MÁS QUE INFORMACIÓN. La libertad no existe si la tolerancia no se practica</t>
  </si>
  <si>
    <t>http://www.masportal.net</t>
  </si>
  <si>
    <t>Debo ser el sujeto mas pro @Santi_ABASCAL del pais. Este tipo en su anterior vida fue rodelero del tercio de Flandes a mi no me jodan RT @NickyMarquez1: Somos la Derecha: el gran @Santi_ABASCAL (lider de VOX, el partido alternativo de España) @AgustinLaje y Javier Villamor.</t>
  </si>
  <si>
    <t>https://twitter.com/NickyMarquez1/status/1062962525145325574</t>
  </si>
  <si>
    <t>https://pbs.twimg.com/media/DsBmwuqX4AE2nVS.jpg</t>
  </si>
  <si>
    <t>Óscar Elía</t>
  </si>
  <si>
    <t>El nivel de soberbia, impunidad y descaro de La Sexta/Atresmedia llega incluso a manipular las palabras de @Santi_ABASCAL hasta cuando advierte de esa manipulación. Son la Lubianka Mediática RT @alonso_dm: Abascal bromea sobre la concentración de salvajes a las puertas del acto multitudinario de Vox en Murcia: «Anda que si salimos todos ahora».</t>
  </si>
  <si>
    <t>http://www.outono.net/elentir/2018/11/12/las-dos-trampas-que-le-hizo-cristina-lopez-schlichting-a-santiago-abascal-en-la-cope/</t>
  </si>
  <si>
    <t>Si no es Pamplona, Madrid</t>
  </si>
  <si>
    <t>In short: we win, they lose (Ronald Reagan) Grupo de Estudios Estratégicos (GEES) http://gab.ai @oscarelia</t>
  </si>
  <si>
    <t>http://www.gees.org/</t>
  </si>
  <si>
    <t>Más comentados ahora en Cataluña/Catalanismo: ➀ @jcanadellb ↓ ➁ @InesArrimadas ↓ ➂ @ramoncotarelo ↑ ➃ @Albert_Rivera ➄ @pablocasado_ ➅ @Santi_ABASCAL ↑ ➆ @Arran_jovent ↓ ➇ @sanchezcastejon ↑ ➈ @gallifantes ↓</t>
  </si>
  <si>
    <t>Franio 🇮🇱</t>
  </si>
  <si>
    <t>Acabo de ver a @Santi_ABASCAL en #Sevilla y mamma mía 😍❤️✅</t>
  </si>
  <si>
    <t>SVQ</t>
  </si>
  <si>
    <t>Demócrata, liberal y europeísta, #NoPodéis. Me encantan las tartas de chocolate y galletas. Ex republicano. Numismático y ex eurofan. Tel Aviv 2019 ¡Allá vamos!</t>
  </si>
  <si>
    <t>http://www.bimetallic-coins.com</t>
  </si>
  <si>
    <t>📣 VIERNES CxE: 🍻 VALENCIA👉🏻 Patricia Lorenzo, Presidenta de @RedMadreFunda. 🍻 SEVILLA👉🏻 @Santi_ABASCAL, Presidente @vox_es. 🍻 MÁLAGA👉🏻 @molto_garcia, №1 @vox_malaga para Andalucía. 🍻 GRANADA👉🏻 @fjocana, №1 @vox_granada para Andalucía. ¡Forma parte de la #EspañaViva!😉</t>
  </si>
  <si>
    <t>https://pbs.twimg.com/media/DsEKrZjWoAEmc8W.jpg</t>
  </si>
  <si>
    <t>Recuerdo cuando oía a Trump hablar de las “fake news” que salían contra él y me parecía algo súper ajeno a nuestro País. Hoy, después de ver lo de la Secta con @vox_es solo espero que les espere el mismo destino que a Trump, y de una vez por todas @Santi_ABASCAL sea presidente.</t>
  </si>
  <si>
    <t>Área de Juventud Podemos CAM</t>
  </si>
  <si>
    <t>No es extremista quien impide un acto fascista , ni las que queremos un país más inclusivo, libre y de la gente sencilla. En definitiva, vivir en igualdad✊. Extremismo se traduce en quién pretende heredar el oscuro y tenebroso pasado de ultra derecha @Santi_ABASCAL @vox_es #VOX</t>
  </si>
  <si>
    <t>https://pbs.twimg.com/media/DsEIOTPX4AA7zfD.jpg</t>
  </si>
  <si>
    <t>Francisco Serrano</t>
  </si>
  <si>
    <t>Éxito de convocatoria de Santi Abascal ahora en Sevilla.</t>
  </si>
  <si>
    <t>Cuenta oficial del Área de Juventud de Podemos en la Comunidad de Madrid.</t>
  </si>
  <si>
    <t>https://pbs.twimg.com/media/DsJfjkeWwAEYjtr.jpg</t>
  </si>
  <si>
    <t>Magistrado y Fiscal en excedencia. Abogado en lucha por #IgualdadTotal y defensa de los más débiles. Candidato por VOX a la presidencia de la Junta. Vota VOX</t>
  </si>
  <si>
    <t>🔴 ¡Mañana viernes nos vamos de Cañas con Santiago Abascal @Santi_ABASCAL en SEVILLA! Ha sido inesperado, pero esta tarde de fin de semana no será de las que se olvidan fácilmente, ¡no te lo pierdas! #AndalucíaPorEspaña 🍻😉</t>
  </si>
  <si>
    <t>Pedro Insua</t>
  </si>
  <si>
    <t>Enredando por Internet me he encontrado con este vídeo, de hace unos años, en el que @TereChinchetru, Pedro López Arriba y yo mismo presentamos una conferencia de @Santi_ABASCAL sobre su utilísimo libro "La farsa de la autodeterminación":</t>
  </si>
  <si>
    <t>https://youtu.be/Vkq_FLg2uT0</t>
  </si>
  <si>
    <t>Y el naufragar me es dulce en este océano (Leopardi)</t>
  </si>
  <si>
    <t>Meme Monsalve</t>
  </si>
  <si>
    <t>Pero es cierto, si no, no estarian sacando a Franco de su tumba. Desde que llego ZP todo es Guerracivilismo y odio. Mi apoya a Ortega Lara @eljueves @Santi_ABASCAL RT @eljueves: Ortega Lara, la enésima prueba de que ser víctima de algo no te exime de ser imbécil.</t>
  </si>
  <si>
    <t>Frantz Fanon Fan</t>
  </si>
  <si>
    <t>El tal @bsemper es el representante máximo del falangismo sensato. Ni aún así se come un colín y menos aquí. Está tardando en dar el salto a Madrid como su ex-compañero @Santi_ABASCAL #AlertaUltra</t>
  </si>
  <si>
    <t>https://pbs.twimg.com/media/DsEGCh6WkAAWk8r.jpg</t>
  </si>
  <si>
    <t>La explosión no tendrá lugar hoy. Es demasiado pronto... O demasiado tarde. No vengo en absoluto armado de verdades decisivas.</t>
  </si>
  <si>
    <t>http://www.eldiario.es/murcia/</t>
  </si>
  <si>
    <t>turgalium</t>
  </si>
  <si>
    <t>Esto es España, así nos va @vox_es @Santi_ABASCAL</t>
  </si>
  <si>
    <t>https://pbs.twimg.com/media/DsEFu5wWsAEU6H-.jpg</t>
  </si>
  <si>
    <t>Trujillo</t>
  </si>
  <si>
    <t>DISFRUTA-SI LE GUSTAS A TODO EL MUNDO ES QUE ALGO ESTA FALLANDO !!!</t>
  </si>
  <si>
    <t>Antonio Rico✍</t>
  </si>
  <si>
    <t>Condenan a ocho meses de prisión a los dos radicales de izquierdas detenidos cuando intentaban boicotear el acto de @vox_es en @Vox_Murcia de @Santi_ABASCAL</t>
  </si>
  <si>
    <t>https://www.laverdad.es/murcia/condenan-ocho-meses-20181115183940-nt.html</t>
  </si>
  <si>
    <t>Delegado @AnticorrObserva Colectivo apartidista,por y para las personas Exmiembro de @Defensagob y de la @guardiacivil Medallas @NATO y Plata al Mérito Policial</t>
  </si>
  <si>
    <t>https://occ.org.es/index.php/quienes-somos-que-hacemos/</t>
  </si>
  <si>
    <t>LA ABUELA CARMENA TIENE MÁS CARA QUE VERGUENZA! TODOS A VOTAR @Santi_ABASCAL</t>
  </si>
  <si>
    <t>https://okdiario.com/espana/madrid/2018/11/15/carmena-vuelve-subirse-sueldo-ya-gana-104-000-4-000-mas-que-ana-botella-3350688</t>
  </si>
  <si>
    <t>eldiariomurcia</t>
  </si>
  <si>
    <t>Región de Murcia - La Tierra</t>
  </si>
  <si>
    <t>José Manuel Sánchez Fornet</t>
  </si>
  <si>
    <t>📰 Eldiario.es en la Región de Murcia. Periodismo a pesar de todo.</t>
  </si>
  <si>
    <t>Han dejado de seguirme algún diputado y periodista, presuntamente de izquierdas. Supongo que porque retuiteo a @Santi_ABASCAL y no me arrodillo ante el pensamiento único. Para mi @vox_es no es la extrema derecha y merecéis los corruptos una dosis de españolismo. Leña y punto. RT @Santi_ABASCAL: ...y aquí el vídeo sin cortar que la propaganda de guerra de @laSextaTV no ha querido emitir. Sabíamos que ibais a manipularlo sin escrúpulos. 😂😂</t>
  </si>
  <si>
    <t>Mi Biblia, la Declaración Universal de los Derechos Humanos. Agnóstico. Personaje histórico favorito, un revolucionario: Jesús de Nazaret.</t>
  </si>
  <si>
    <t>http://confidencialandaluz.com/author/sanchezfornet/</t>
  </si>
  <si>
    <t>Más comentados ahora en Cataluña/Catalanismo: ➀ @InesArrimadas ↑ ➁ @jcanadellb ↑ ➂ @ramoncotarelo ↑ ➃ @Arran_jovent ↓ ➄ @gallifantes ↑ ➅ @Albert_Rivera ↓ ➆ @pablocasado_ ↓ ➇ @Santi_ABASCAL ↓ ➈ @JoanTarda ↓</t>
  </si>
  <si>
    <t>Raventós</t>
  </si>
  <si>
    <t>Este tweet lo tiene todo, papi @Santi_ABASCAL</t>
  </si>
  <si>
    <t>https://pbs.twimg.com/media/DsD-2AiXQAATT_8.jpg</t>
  </si>
  <si>
    <t>Mi actitud frente a la vida es la misma que la que tuvieron los padres de Maverick Viñales al decidir su nombre, por eso hago cosas en @ajajojejo</t>
  </si>
  <si>
    <t>Fray Josepho</t>
  </si>
  <si>
    <t>Esto es lo que pasa cuando un partido traiciona a España y da la espalda a los españoles 🇪🇸💪🏻 RT @raqueltejero_: 🔴 Pinchazo de Podemos en Madrid: No más de 30 militantes han asistido a este acto. El aforo de la sala es de 300 personas.</t>
  </si>
  <si>
    <t>Si la Sexta fuera un canal decente, este hilo de @Santi_ABASCAL provocaría ceses fulminantes en la dirección de informativos. Ay, que se me ha subido a la cabeza la cocacola light, perdón. RT @Santi_ABASCAL: HILO VA: Os vamos a mostrar con 2 vídeos un ejemplo práctico de manipulación de @laSextaTV @sextaNoticias que se ha producido ahora mismo. Aquí el vídeo cortado y manipulado suciamente por La Secta:</t>
  </si>
  <si>
    <t>https://twitter.com/raqueltejero_/status/1063501621953478656
https://okdiario.com/espana/2018/11/16/podemos-quita-sillas-acto-madrid-echenique-errejon-planton-del-publico-3360303#.W-8OUuaoaTE.twitter</t>
  </si>
  <si>
    <t>La sátira de Libertad Digital. También en @eslatarde de @esradio.</t>
  </si>
  <si>
    <t>http://www.libertaddigital.com/opinion/fray-josepho/</t>
  </si>
  <si>
    <t>Carlos Barcia</t>
  </si>
  <si>
    <t>SANTI ABASCAL (VOX) repasa los insultos de los escuadristas enviados por PABLO IGLESIAS en Murcia</t>
  </si>
  <si>
    <t>https://www.youtube.com/attribution_link?a=AGSu0akKNLI&amp;u=%2Fwatch%3Fv%3D5LeDQjo7Cww%26feature%3Dshare</t>
  </si>
  <si>
    <t>San Lorenzo</t>
  </si>
  <si>
    <t>Quiero ver un café en @EspejoPublico de @susannagriso con @Santi_ABASCAL</t>
  </si>
  <si>
    <t>BARCELONA</t>
  </si>
  <si>
    <t>Los hoteles y el café mi pasión,.... y mi trabajo, ¿ que más se puede pedir?...un espresso Bou por favor!</t>
  </si>
  <si>
    <t>Si tienes que ir a por la verdad es por que vives en la mentira. Cuando se va con la mentira por la vida, al final te trinkan.</t>
  </si>
  <si>
    <t>OLE....QUE BIEN JINETE ES EL GRAN SANTI ABASCAL....TODO EL MUNDO A VOTARLO!</t>
  </si>
  <si>
    <t>https://pbs.twimg.com/media/DsJQtasWkAA-hE7.jpg</t>
  </si>
  <si>
    <t>ElAndaluzCatalán</t>
  </si>
  <si>
    <t>Joder q asco de @laSextaTV dios!! Están totalmente entregados al régimen.. son unos manipuladores!! Nunca volveré a sintonizar ese canal. Esto hace q hoy @Santi_ABASCAL tenga mil votos más! #boicotalasecta #lasexta #boicotlasexta #vox #boicot #EspañaViva #espanaciudadana RT @Miotroyo2parte: -@Santi_ABASCAL ha amenazado con salir a pegar a los antifascistas. -Pero después ha dicho que es broma. -¿Tú quieres trabajar en @laSextaTV, chaval? -Sí, pero... -Pues corta esa parte y manda el vídeo.</t>
  </si>
  <si>
    <t>https://twitter.com/Miotroyo2parte/status/1063120086674915328</t>
  </si>
  <si>
    <t>pic.twitter.com/d0BuXsVHYm</t>
  </si>
  <si>
    <t>España es mi país, Barcelona mi ciudad y el Barça mi equipo. Soy andaluz a mucha honra y desde esta cuenta proclamó la República Independiente de.. MI CASA!! 😂</t>
  </si>
  <si>
    <t>Abalo Delgado</t>
  </si>
  <si>
    <t>.@eslatarde @isanseba @jg_dominguez @manuel_llamas Y Federico preocupado por si @Santi_ABASCAL monta a caballo con Morante y se hace un vídeo. Vaya tela lo de Maillo en el guayominmedio</t>
  </si>
  <si>
    <t>Carlos ValenS</t>
  </si>
  <si>
    <t>Con el carrito del helado os han pillado, no se puede ser más manipuladores. @laSextaTV  Mis dieses @Santi_ABASCAL 👏👏 @vox_granada @vox_es 🇪🇸🇪🇸🇪🇸🇪🇸🇪🇸</t>
  </si>
  <si>
    <t>https://m.facebook.com/story.php?story_fbid=1647938781978203&amp;id=467127060059387</t>
  </si>
  <si>
    <t>Español y Bético hasta la muerte. Licenciado en Derecho por la Universidad de Granada. Amante del tenis, el fitness, la velocidad y la buena vida.</t>
  </si>
  <si>
    <t>Buenas noches VOX desde Huelva un afiliado a VOX_Huelva Anoche @santi Abascal durante el inicio de campaña en Andalucía . "Los andaluces van a entregar a la "España viva las llaves de Saltelmon con una fuerza muy significativa que significativa que va a poder. RT @vox_es: 📹 Anoche @Santi_ABASCAL durante el inicio de campaña en Andalucía ⤵ 🗨 "Los andaluces van a entregar a la #EspañaViva🇪🇸 las llaves de San Telmo con una fuerza muy significativa que va a poder determinar el próximo gobierno" 💪 📢 #AndaluciaPorEspaña #VotaAVOX</t>
  </si>
  <si>
    <t>https://twitter.com/vox_es/status/1063464347303886848</t>
  </si>
  <si>
    <t>Mi otro yo 🇪🇸</t>
  </si>
  <si>
    <t>-@Santi_ABASCAL ha amenazado con salir a pegar a los antifascistas. -Pero después ha dicho que es broma. -¿Tú quieres trabajar en @laSextaTV, chaval? -Sí, pero... -Pues corta esa parte y manda el vídeo.</t>
  </si>
  <si>
    <t>Si vota a Podemos no me siga, le aseguro que no le gustará lo que va a leer. Siempre satisfactoriamente insatisfecho.</t>
  </si>
  <si>
    <t>daniel fernandez</t>
  </si>
  <si>
    <t>Manipulación de la "secta" en el discurso de @Santi_Abascal Ahora más que nunca #VoxAvanza #EspañaVivaRT @Santi_ABASCAL: HILO VA: Os vamos a mostrar con 2 vídeos un ejemplo práctico de manipulación de @laSextaTV @sextaNoticias que se ha producido ahora mismo. Aquí el vídeo cortado y manipulado suciamente por La Secta:</t>
  </si>
  <si>
    <t>https://twitter.com/Santi_ABASCAL/status/1063066152648228866?s=19</t>
  </si>
  <si>
    <t>zaragoza</t>
  </si>
  <si>
    <t>Vive y deja vivir. Afiliado a Vox.</t>
  </si>
  <si>
    <t>Un Español preocupado</t>
  </si>
  <si>
    <t>A mí ya no se me ocurren adjetivos para calificar a ésta. @vox_es @Santi_ABASCAL RT @gallifantes: Ortega Lara es un miserable aunque sufriera un secuestro. Vamos, como Carrero Blanco. Que era un fascista aunque sufriese un atentado.</t>
  </si>
  <si>
    <t>Aranjuez</t>
  </si>
  <si>
    <t>Soy un hombre al que la suerte hirió con garra de fiera. Si me respetas, te respetaré. Español, Madrileño y Madridista.</t>
  </si>
  <si>
    <t>#MolinadeSegura 🇪🇸</t>
  </si>
  <si>
    <t>Hace tres años @Santi_ABASCAL, presidente de @vox_es, reunió en Murcia a 30 personas, ayer en @HotelNelva más de 3.000 personas x la periodista @Elisareche vía @eldiariomurcia</t>
  </si>
  <si>
    <t>https://www.eldiario.es/murcia/politica/Abascal-Vox-Pablo-Iglesias-Murcia_0_836066688.html</t>
  </si>
  <si>
    <t>Molina de Segura</t>
  </si>
  <si>
    <t>Estoy aquí para que #MolinadeSegura sea TT https://youtu.be/BZJC9tv7Hkw</t>
  </si>
  <si>
    <t>http://www.palimpalem.com/7/MOLINADESEGURA/index.html</t>
  </si>
  <si>
    <t>Ignacio Garriga</t>
  </si>
  <si>
    <t>Imprescindible hilo de @alonso_dm sobre como manipula la @laSextaTV unas palabras de @Santi_ABASCAL Único objetivo: demonizar a @vox_es y promover la estigmatización. Quedan retratados, una vez más. #FakeNews RT @alonso_dm: Abascal bromea sobre la concentración de salvajes a las puertas del acto multitudinario de Vox en Murcia: «Anda que si salimos todos ahora».</t>
  </si>
  <si>
    <t>Barcelona,Cataluña.Orgulloso de mi Nación,España.Padre de Familia Numerosa.Odontólogo.Conservador. Portavoz Comité Ejecutivo Nacional de @vox_es</t>
  </si>
  <si>
    <t>Más comentados ahora en Cataluña/Catalanismo: ➀ @InesArrimadas ↑↑ ➁ @jcanadellb ↑↑↑ ➂ @ramoncotarelo ↓ ➃ @Albert_Rivera ↑ ➄ @pablocasado_ ↑ ➅ @Santi_ABASCAL ↑ ➆ @KRLS ↑ ➇ @gallifantes ↓ ➈ @Esquerra_ERC ↓</t>
  </si>
  <si>
    <t>J. Fenoy</t>
  </si>
  <si>
    <t>Como manipula la sexta!! Seguro que @MonegalFerran denunciará el corte de la intervención de @Santi_ABASCAL cuando haga su análisis en @lasextanoche_</t>
  </si>
  <si>
    <t>Zibelina 🇪🇸 🇪🇺 🌎</t>
  </si>
  <si>
    <t>Santi Abascal estalla y emite un demoledor vídeo contra Ferreras y la manipulación de laSexta | Periodista Digital</t>
  </si>
  <si>
    <t>Mundo, Europa, España</t>
  </si>
  <si>
    <t>Ciudadana demócrata no nacionalista interesada por la informacion mundial, defensora de la cultura humanista y lectora permanente. No sigo cuentas protegidas</t>
  </si>
  <si>
    <t>Pati🇪🇸</t>
  </si>
  <si>
    <t>¿Seré facha, según @Santi_ABASCAL? Me da que sí.... 😂😂😂😂😂😂😂😂</t>
  </si>
  <si>
    <t>pic.twitter.com/pGkn92jfqv</t>
  </si>
  <si>
    <t>España  +=+= 🇪🇸🇪🇸🇪🇸🇪🇸</t>
  </si>
  <si>
    <t>Libertad, libertad y libertad. Tabarnesa de corazón. WHIP. VERDE</t>
  </si>
  <si>
    <t>👉🏻Con más razón que un Santo: Emociones españolas  @GomaMariano @EspanaForo @SCBalear @xpericay @AntoniCamps @gsampolfer @paatri_guerrero @Santi_ABASCAL @jcamposasensi @espanyacatalans @angelmigeva @ERIKEO5555</t>
  </si>
  <si>
    <t>https://www.diaribalear.es/con-mas-razon-que-un-santo-emociones-espanolas/</t>
  </si>
  <si>
    <t>no_pasaran#</t>
  </si>
  <si>
    <t>sevilla</t>
  </si>
  <si>
    <t>Luchador por un estado que sea eso un verdadero estado. Republicano y antifascista</t>
  </si>
  <si>
    <t>Peter Martínez</t>
  </si>
  <si>
    <t>Puto Caballo de mierda en el que va @Santi_ABASCAL. Se merece un unicornio.</t>
  </si>
  <si>
    <t>La Opinión de Murcia</t>
  </si>
  <si>
    <t>.@diegoconesa, a @Santi_ABASCAL: "Bienvenido sea que felicite la acción de la @policia"  #Murcia</t>
  </si>
  <si>
    <t>https://www.laopiniondemurcia.es/comunidad/2018/11/15/delegado-gobierno-region-santiago-abascal/972315.html</t>
  </si>
  <si>
    <t>Tiraspol</t>
  </si>
  <si>
    <t>Karl Marx, Stalin, Lenin están entre mis seguidores de Twitter.</t>
  </si>
  <si>
    <t>Región de Murcia</t>
  </si>
  <si>
    <t>El periódico de actualidad y opinión de la Región de Murcia, con el que estarás informado de todo al instante.</t>
  </si>
  <si>
    <t>https://www.laopiniondemurcia.es</t>
  </si>
  <si>
    <t>Santi Abascal estalla y emite un demoledor vídeo contra Ferreras y la manipulación de laSexta  vía @Periodistadigit</t>
  </si>
  <si>
    <t>cule🎗 vive y deja vivir</t>
  </si>
  <si>
    <t>Empieza la reconquista de @vox_es y @Santi_ABASCAL de #Andalucia por #Almeria #ALaTaque Gentileza de foto... Meme ⤵️ @El_TylerDurden</t>
  </si>
  <si>
    <t>https://pbs.twimg.com/media/DsDqCCEX4AEZVBv.jpg</t>
  </si>
  <si>
    <t xml:space="preserve">#En algun Lugar de Jaen </t>
  </si>
  <si>
    <t>Naci siendo del barça, Indignado, ANDALUZ y de JAÉN #VivaAndaluciaLibre</t>
  </si>
  <si>
    <t>📺 Señor Ferreras debería volver a la Facultad de @UCMccinf @unicomplutense a aprender deontología profesional. Su @DebatAlRojoVivo @laSextaTV es un gran ejemplo de “objetividad” cuando se refiere @vox_es y a @Santi_ABASCAL</t>
  </si>
  <si>
    <t>Pisquis</t>
  </si>
  <si>
    <t>pic.twitter.com/vBDG5pgapj</t>
  </si>
  <si>
    <t>enfadao</t>
  </si>
  <si>
    <t>Me ha gustado un vídeo de @YouTube ( - SANTI ABASCAL carga contra MANUELA CARMENA. ¿Qué opina VOX de las</t>
  </si>
  <si>
    <t>http://youtu.be/WVk6--jHJ70?a</t>
  </si>
  <si>
    <t>Alpanpanyalvinovino</t>
  </si>
  <si>
    <t>Tranquilo @Santi_ABASCAL que a la gente de bien no nos manipulan, da igual lo que pongan o digan, lo tenemos muy claro quienes son los h.d.p que quieren romper el pais. RT @Santi_ABASCAL: HILO VA: Os vamos a mostrar con 2 vídeos un ejemplo práctico de manipulación de @laSextaTV @sextaNoticias que se ha producido ahora mismo. Aquí el vídeo cortado y manipulado suciamente por La Secta:</t>
  </si>
  <si>
    <t>Sup.AudienciaNacional</t>
  </si>
  <si>
    <t>Tu ideología no justifica este ataque tan sucio #SinImpunidad  @Sup_Policia @supmadrid @SUP_Murcia @PoderJudicialEs @justiciagob @vox_es @Santi_ABASCAL #OrtegaLara @TConstitucionE @Congreso_Es @Senadoesp @LolaDelgadoG @policia @interiorgob</t>
  </si>
  <si>
    <t>https://www.elmundo.es/espana/2018/11/15/5bed7091468aebf31f8b4587.html</t>
  </si>
  <si>
    <t>Anoche inicio de campaña en Andalucía frente al "cortijo" de San Telmo. VOX tendrá las llaves el próximo 2 de diciembre. #AndalucíaPorEspaña #VotaVOX</t>
  </si>
  <si>
    <t>Twitter oficial del SUP en la Audiencia Nacional. Actualidad sindical y Judicial. Luchamos por tus derechos. 💪🏻💪🏻💪🏻 Síguenos. 👨🏻‍🎓👩🏻‍🎓⚖️🏢</t>
  </si>
  <si>
    <t>https://pbs.twimg.com/media/DsIk4yYXQAUxuKG.jpg</t>
  </si>
  <si>
    <t>Hokhmah</t>
  </si>
  <si>
    <t>"Os han engañado, la Virgen ha follado". Eso han gritado las feminazis, los amigos de Podemos, los progre-nazis. A ver si tienen cojones a decir algo así de Mahoma. Es una escoria. Ni un puto político salvo @Santi_ABASCAL lo ha denunciado.</t>
  </si>
  <si>
    <t>El mundo</t>
  </si>
  <si>
    <t>ISLAM IS OUR ENEMY N1</t>
  </si>
  <si>
    <t>Más comentados ahora en Cataluña/Catalanismo: ➀ @ramoncotarelo ↑ ➁ @gallifantes ↓ ➂ @InesArrimadas ↓ ➃ @Albert_Rivera ↓ ➄ @pablocasado_ ↓ ➅ @Santi_ABASCAL ↓ ➆ @toni_comin ↑ ➇ @KRLS ↓ ➈ @sanchezcastejon ↓</t>
  </si>
  <si>
    <t>David Amo</t>
  </si>
  <si>
    <t>Dice @Santi_ABASCAL que ellos son la verdadera España. ¿Cómo no nos vamos a sonar los mocos con su bandera, entonces?</t>
  </si>
  <si>
    <t>Mieres</t>
  </si>
  <si>
    <t>Mierense en Oviedo, ingeniero informático y ahora emprendedor (que ta de moda)</t>
  </si>
  <si>
    <t>http://www.ilastec.com</t>
  </si>
  <si>
    <t>Llamar a #OrtegaLara ignorante crónico e imbecil. Las cositas de los de moralidad superior. Y dice llamarse periodista. Otro más de la máquina de generar odio @Santi_ABASCAL RT @butacondelgarci: Me sonrojo con las declaraciones de #OrtegaLara sobre la #GuerraCivil y sus ataques a la izquierda, y llego a dos conclusiones irrefutables: o es un ignorante crónico o un imbécil irreparable.</t>
  </si>
  <si>
    <t>https://twitter.com/butacondelgarci/status/1063069820961374208</t>
  </si>
  <si>
    <t>Ana Rosa, a @Santi_ABASCAL: "Españoles somos todos, votemos al partido que votemos"</t>
  </si>
  <si>
    <t>A ver si @sextaNoticias difunde la rueda de prensa de @Santi_ABASCAL . Escúchale. Hasta han insultado a la Virgen. HDLGP.</t>
  </si>
  <si>
    <t>https://ocio.laopiniondemurcia.es/tv/noticias/nws-708227-ana-rosa-santiago-abascal-espanoles-somos-todos-votemos-partido-votemos.html</t>
  </si>
  <si>
    <t>Marcos.</t>
  </si>
  <si>
    <t>Sin palabras. Estos dos vídeos demuestran, la total manipulación que existe en @laSextaTV y que la #EspañaViva denunciamos entre otras cosas. Avanza @vox_es @Santi_ABASCAL RT @Santi_ABASCAL: ...y aquí el vídeo sin cortar que la propaganda de guerra de @laSextaTV no ha querido emitir. Sabíamos que ibais a manipularlo sin escrúpulos. 😂😂</t>
  </si>
  <si>
    <t>UNED, Trabajo Social</t>
  </si>
  <si>
    <t>No es ego, es mi forma de ser. Un tal 26 de Abril de 1903 nació un sentimiento. // #FA #Æ #DELNARANJOALCIELO</t>
  </si>
  <si>
    <t>.@mejoreszasca este de @Santi_ABASCAL a @laSextaTV @sextaNoticias está ya montado. RT @Santi_ABASCAL: HILO VA: Os vamos a mostrar con 2 vídeos un ejemplo práctico de manipulación de @laSextaTV @sextaNoticias que se ha producido ahora mismo. Aquí el vídeo cortado y manipulado suciamente por La Secta:</t>
  </si>
  <si>
    <t>Por favor, gastad una hora de vuestro tiempo y escuchadlo entero. Ahí está el hombre que debe gobernar España. Escucha todo, por favor. Grande @Santi_ABASCAL RT @Vox_Murcia: Ya puedes ver de nuevo el acto de @vox_es en #Murcia con @Santi_ABASCAL y Ortega Lara</t>
  </si>
  <si>
    <t>https://twitter.com/Vox_Murcia/status/1063084487221956609
https://www.youtube.com/watch?v=xJ6HxMtQ-Ww</t>
  </si>
  <si>
    <t>Imprescindible artículo de @hermanntertsch 👌🏻</t>
  </si>
  <si>
    <t>https://pbs.twimg.com/media/DsISHJtWsAAVeRl.jpg</t>
  </si>
  <si>
    <t>¿Vamos a permitir esto @vox_es @Santi_ABASCAL @carlossmith @Ortega_Smith? Esto merece una reacción inmediata. ¡A Ortega Lara no nos lo tocan!</t>
  </si>
  <si>
    <t>https://pbs.twimg.com/media/DsDfqnIXgAAu4Pt.jpg</t>
  </si>
  <si>
    <t>Pereza</t>
  </si>
  <si>
    <t>Que dice @CogedTuppers que se empotraba a Santi Abascal con ayuda de la vaselina ecológica.</t>
  </si>
  <si>
    <t>Detrás de ti con un hacha</t>
  </si>
  <si>
    <t>No existo, soy un holograma.</t>
  </si>
  <si>
    <t>Mr.C</t>
  </si>
  <si>
    <t>Otra manipulación más de @laSextaTV los que hablan de #fakenews y de crear un medio para que nos digan qué cosas son falsas, cortando el momento en que @Santi_ABASCAL aclara que es todo una broma a los medios que están ahí. ¿No os da vergüenza mentir así? RT @alonso_dm: El programa de fake news de Ferreras habla de «amenaza» y corta el momento en el que Abascal dice que está hablando en broma, lo mismo que le hacen a Trump en EEUU. Nivel informativo de Los Simpson.</t>
  </si>
  <si>
    <t>Mariano Galian Tudel</t>
  </si>
  <si>
    <t>Defensor de la igualdad real y no de la que nos venden neo feministas, progres y medios de descomunicación.</t>
  </si>
  <si>
    <t>Profe</t>
  </si>
  <si>
    <t>Antonio Palomar 🇪🇸VOX🇪🇸</t>
  </si>
  <si>
    <t>.@DebatAlRojoVivo @sextaNoticias @MVTARDE en vez de tanto corta y pega mal hecho, porque no dais voz a los insultados. A ver si ahora os voy a tener que aclarar quienes fueron (y son y serán) los insultados. Podéis empezar por @Santi_ABASCAL</t>
  </si>
  <si>
    <t>Arcos de la Frontera</t>
  </si>
  <si>
    <t>Loreño, Sevillista,Setefillano,Rosariero. Abonado 25993 SFC. Miembro de la @Sevillistas_Arc. y de @PSNuncaSeRinde. Coord @Vox_ArcosFra. Vocal CEP @VOX_Cadiz</t>
  </si>
  <si>
    <t>http://www.enclavehispana.es</t>
  </si>
  <si>
    <t>La Sexta manipula una frase de Santi Abascal del acto de VOX en Murcia (...  vía @YouTube</t>
  </si>
  <si>
    <t>A ver si vienes a Cádiz @Santi_ABASCAL que aquí no tenemos ETA y ya va siendo hora. "La ETA de Cádiz" o como diría tu querido Albert "cocas" Rivera, "los comandos amigos de Kichi".</t>
  </si>
  <si>
    <t>https://youtu.be/7piMTiR4ozc</t>
  </si>
  <si>
    <t>Miquel Rosselló</t>
  </si>
  <si>
    <t>La gente no es tonta, con estas manipulaciones están aupando a @Santi_ABASCAL RT @alonso_dm: El programa de fake news de Ferreras habla de «amenaza» y corta el momento en el que Abascal dice que está hablando en broma, lo mismo que le hacen a Trump en EEUU. Nivel informativo de Los Simpson.</t>
  </si>
  <si>
    <t>Succede in arduum</t>
  </si>
  <si>
    <t>http://www.rosselloarrom.com</t>
  </si>
  <si>
    <t>HINOJOS</t>
  </si>
  <si>
    <t>pikkonen</t>
  </si>
  <si>
    <t>Dios los crea y ellos se juntan. Solo propagan odio. Me refiero a @alonso_dm y @Santi_ABASCAL. Los q ladran fuera diciendo barbaridades no merecen ni un comentario RT @alonso_dm: Abascal bromea sobre la concentración de salvajes a las puertas del acto multitudinario de Vox en Murcia: «Anda que si salimos todos ahora».</t>
  </si>
  <si>
    <t>En España</t>
  </si>
  <si>
    <t>He vivido intensamente 78 años dedicados a mi familia y a mi país y sigo con la intención de disfrutar de lo mismo.</t>
  </si>
  <si>
    <t>A Coruña + Depor</t>
  </si>
  <si>
    <t>Más comentados ahora en Cataluña/Catalanismo: ➀ @ramoncotarelo ↓ ➁ @gallifantes ↑ ➂ @InesArrimadas ↓ ➃ @Albert_Rivera ↑ ➄ @Santi_ABASCAL ↑ ➅ @pablocasado_ ↑ ➆ @sanchezcastejon ↓ ➇ @KRLS ↓ ➈ @gabrielrufian ↓</t>
  </si>
  <si>
    <t>Ya puedes ver de nuevo el acto de @vox_es en #Murcia con @Santi_ABASCAL y Ortega Lara</t>
  </si>
  <si>
    <t>Tanta preocupacion por el medio ambiente y sigue Ud. utilizando aviones y helicópteros, permitame que diga que no es Ud. de fiar Sr. Presidente @sanchezcastejon !!! @PSOE @PPopular @pablocasado_ @CiudadanosCs @Albert_Rivera @vox_es @Santi_ABASCAL #CartaJuanCarlosI #Templarios</t>
  </si>
  <si>
    <t>Lady Guridi</t>
  </si>
  <si>
    <t>Solo por esta manipulación de las palabras de @Santi_ABASCAL todo ciudadano de bien debería automáticamente desintonizar @laSextaTV RT @alonso_dm: El programa de fake news de Ferreras habla de «amenaza» y corta el momento en el que Abascal dice que está hablando en broma, lo mismo que le hacen a Trump en EEUU. Nivel informativo de Los Simpson.</t>
  </si>
  <si>
    <t>de aquí para allá</t>
  </si>
  <si>
    <t>Española a perpetuidad. Disfrutando de la vida. Con destino a Madrid.</t>
  </si>
  <si>
    <t>La penúltima #Tarición del #Okupa , renuncia al derecho de veto del Peñón de Gibraltar en el Brexit. @sanchezcastejon @PSOE @PPopular @pablocasado_ @CiudadanosCs @Albert_Rivera @vox_es @Santi_ABASCAL #CartaJuanCarlosI #Templarios</t>
  </si>
  <si>
    <t>Cowboy en paro</t>
  </si>
  <si>
    <t>Las chorradas de Santi Abascal no, la Izquierda insultando a gente como Ortega Lara o el padre de Marta del Castillo si hace crecer a VOX.</t>
  </si>
  <si>
    <t>Menuda chusma y bazofia de podemitas ,comunistas y extrema izquierda, porreros y secuaces de Pablo mezquitas @Pablo_Iglesias_ con consignas proetarras y contra Ortega Lara con amenazas de muerte, insultos e intentos de agresión @vox_es @Santi_ABASCAL RT @elmundoes: Un grupo de radicales de izquierda increpa a Ortega Lara, víctima de ETA, en su boicot a un acto de Vox en Murcia 👉</t>
  </si>
  <si>
    <t>Dog Town, Western Spain.</t>
  </si>
  <si>
    <t>Walk the line.</t>
  </si>
  <si>
    <t>https://twitter.com/elmundoes/status/1063069344375148544
https://trib.al/9tLmSVd</t>
  </si>
  <si>
    <t>https://pbs.twimg.com/media/DsDHUrpXQAI9Uhw.jpg</t>
  </si>
  <si>
    <t>El próximo 1 D a las 12:00 estamos convocados por Santi Abascal en la Plaza de Colón de Madrid. Ha invitado a sumarse a Casado y Rivera. Ningún español debemos faltar. RT @TeresaColl1: Están insultando a Diós, a nuestra bandera, a nuestro Rey, están llenando España de musulmanes que violan, roban y campan a sus anchas subvencionados con nuestros impuestos y estamos callados. Somos la generación más cobarde de la Historia de España!!! QUE VERGÜENZA!!!</t>
  </si>
  <si>
    <t>https://twitter.com/TeresaColl1/status/1063362439926943744</t>
  </si>
  <si>
    <t>Catalana y Espańola</t>
  </si>
  <si>
    <t>Preparados? Gerona nos necesita; si nos desplazamos a barcelona, aquí no podemos faltar, y hay demostrar que las calles sonde todos.@GuajeSalvaje @Santi_ABASCAL @pigdemont_ @SophieScholl17 @Albert_Rivera @dexamina @anti_indepe</t>
  </si>
  <si>
    <t>https://pbs.twimg.com/media/DsDRXU9X0AI46DB.jpg</t>
  </si>
  <si>
    <t>cada dia da más pena como va el país, amorfos independentistas,estas féminacis. ..que os esta pasando? debo ser bicho raro, pq estos no me representan .</t>
  </si>
  <si>
    <t>Monumental zasca de @Santi_ABASCAL a La Sexta tras ser pillada, una vez más, cortando un vídeo para manipular la información y atacar a @vox_es</t>
  </si>
  <si>
    <t>https://casoaislado.com/vuelven-pillar-la-sexta-manipulando-atacar-vox-abascal-les-responde-la-secta-manipula-suciamente/</t>
  </si>
  <si>
    <t>Extraordinaria intervención de @Santi_ABASCAL que no solo demuestra la manipulación de los medios sino también el amparo que a la incitación al crimen y al odio proporciona el gobierno RT @Santi_ABASCAL: ...y aquí el vídeo sin cortar que la propaganda de guerra de @laSextaTV no ha querido emitir. Sabíamos que ibais a manipularlo sin escrúpulos. 😂😂</t>
  </si>
  <si>
    <t>Miguel</t>
  </si>
  <si>
    <t>Santi Abascal estalla y emite un demoledor vídeo contra Ferreras y la manipulación de laSexta  El millonario Ferreras mantiene y defiende su  un gran bufón al servicio del golpìsmo catalán y en contra del Estado de Derecho.</t>
  </si>
  <si>
    <t>http://www.periodistadigital.com/-
http://pesebre.Es</t>
  </si>
  <si>
    <t>El pensamiento liberal se fundamenta en el reconocimiento y garantía de los derechos individuales.</t>
  </si>
  <si>
    <t>VictorSanchezdelReal</t>
  </si>
  <si>
    <t>Esto es el primer PRE-Zasca de la historia. Y @Santi_ABASCAL @vox_es acaba de dárselo a @laSextaTV @sextaNoticias asegurándose de dejar clara una declaración sabiendo que era superior a sus fuerzas el manipularlo. 😂 cc : mientras @malditobulo crí crí crí RT @Santi_ABASCAL: ...y aquí el vídeo sin cortar que la propaganda de guerra de @laSextaTV no ha querido emitir. Sabíamos que ibais a manipularlo sin escrúpulos. 😂😂</t>
  </si>
  <si>
    <t>antonio jesus ruano</t>
  </si>
  <si>
    <t>Padrex4,Consultor,Orador,Profe,Gruñón. Sometimes in ENG about 🇪🇸Brands,Media,Comunicac.Ayudando humanos encontrar su voz @Elocuent1 Podcast: http://hablahumano.com</t>
  </si>
  <si>
    <t>publicitario,agricultor</t>
  </si>
  <si>
    <t>http://www.victorsanchezdelreal.com</t>
  </si>
  <si>
    <t>David Blasco Fuentes💯</t>
  </si>
  <si>
    <t>El mayor "zasca" a un medio de comunicación que he visto!!! Sr. @laSextaTV vergüenza me daría a mi que se viera demostrado que mi "trabaja" es pura falsedad. Enhorabuena a @Santi_ABASCAL por esta demostración RT @Santi_ABASCAL: HILO VA: Os vamos a mostrar con 2 vídeos un ejemplo práctico de manipulación de @laSextaTV @sextaNoticias que se ha producido ahora mismo. Aquí el vídeo cortado y manipulado suciamente por La Secta:</t>
  </si>
  <si>
    <t>Sí la muerte nos va a separar, desde el cielo te voy a animar... Amunt Valencia!!!</t>
  </si>
  <si>
    <t>Tercera Clase</t>
  </si>
  <si>
    <t>Esto es Málaga, una de las mayores fosas comunes de Europa. Más de 4.500 personas apiladas en montones de huesos. Diles a sus familias que pretendes derogar la ley de memoria histórica y proteger a quienes los asesinaron. @Santi_ABASCAL</t>
  </si>
  <si>
    <t>https://pbs.twimg.com/media/DsDNVimXQAIDa1o.jpg</t>
  </si>
  <si>
    <t>Sevilla, Reino Andalusí</t>
  </si>
  <si>
    <t>Por nuestro escudo, por nuestra clase, por nuestra patria.</t>
  </si>
  <si>
    <t>Sergio Penagos</t>
  </si>
  <si>
    <t>Mirad, @laSextaTV @sextaNoticias que se os ha debido de cortar en vuestra emisión. Cada día más contigo @Santi_ABASCAL RT @Santi_ABASCAL: ...y aquí el vídeo sin cortar que la propaganda de guerra de @laSextaTV no ha querido emitir. Sabíamos que ibais a manipularlo sin escrúpulos. 😂😂</t>
  </si>
  <si>
    <t>https://twitter.com/santi_abascal/status/1063069836908134402</t>
  </si>
  <si>
    <t>Santander, España</t>
  </si>
  <si>
    <t>Graduado en Derecho. De Santander, viviendo en Madrid.</t>
  </si>
  <si>
    <t>Ayoze</t>
  </si>
  <si>
    <t>Telecinco dice ahora mismo que @Santi_ABASCAL celebra y saca partido de los incidentes de anoche. Asco y mentira.</t>
  </si>
  <si>
    <t>Lauren</t>
  </si>
  <si>
    <t>Las Palmas G.C.</t>
  </si>
  <si>
    <t>Apasionado del fútbol.</t>
  </si>
  <si>
    <t>Cegata y sorda 🙃</t>
  </si>
  <si>
    <t>LiberRand</t>
  </si>
  <si>
    <t>“Más allá de la broma” Este es el post-discurso de @Santi_ABASCAL @vox_es después del✂️q @laSextaTV o @anarosaq no quieren que veas; respuesta x las amenazas de la izquierda extrema:“Os mataremos como en paracuellos”“Ortega Lara, de vuelta al zulo” @CristinaSegui_ @CastigadorY</t>
  </si>
  <si>
    <t>pic.twitter.com/d3XLAFX7tS</t>
  </si>
  <si>
    <t>https://www.laopiniondemurcia.es/comunidad/2018/11/14/santiago-abascal-murcia-gran-pagana/971825.html</t>
  </si>
  <si>
    <t>Tu #libertad termina donde empieza la mía | #revolución silenciosa de la #individualidad #LET</t>
  </si>
  <si>
    <t>http://diariodeunamujerlibre.wordpress.com</t>
  </si>
  <si>
    <t>Emi 󾓫</t>
  </si>
  <si>
    <t>Magistral @Santi_ABASCAL por fin alguien quiere proteger al hombre (y no pide perdón por ello) y no sólo a la mujer...derogación de la ley de violencia de género! @vox me representa</t>
  </si>
  <si>
    <t>Periodista liberal, seguidor del Real Madrid, Houston Rockets and Buffalo Sabres...possibly...the only fan of #sabres in Spain...</t>
  </si>
  <si>
    <t>Más comentados ahora en Cataluña/Catalanismo: ➀ @ramoncotarelo ↑ ➁ @gallifantes ↓ ➂ @InesArrimadas ↑ ➃ @Albert_Rivera ↓ ➄ @KRLS ↓ ➅ @toni_comin ↓ ➆ @pablocasado_ ↓ ➇ @Santi_ABASCAL ↓ ➈ @susanadiaz ↑</t>
  </si>
  <si>
    <t>Francisco Cuaresma Poleo 🇪🇸</t>
  </si>
  <si>
    <t>Esto es intolerable. La miseria moral de la extrema izda no conoce límites. Estos actos de acoso no se pueden permitir y deben contar con la condena de todos los demócratas Si España sigue por este camino será el fin de la democracia. Todo mi apoyo a @Santi_ABASCAL y @vox_es RT @vox_es: 🚨🚨🚨 Ultraizquierdistas intentan impedir nuestro acto en Murcia con @Santi_ABASCAL y Ortega Lara. Insultan e intentan agredir a los asistentes: "¡Facha, pardillo, tu boca en el bordillo!", "Ortega Lara, de vuelta al zulo", "Sin piernas y sin brazos, fascistas a pedazos"...</t>
  </si>
  <si>
    <t>https://twitter.com/vox_es/status/1062799090260557824</t>
  </si>
  <si>
    <t>pic.twitter.com/Gygotr1kDR</t>
  </si>
  <si>
    <t>Estudiante de Derecho en @UC3M. Amante de la política, la naturaleza y la historia. Liberal-Conservador. Entre Huelva​ y Madrid.</t>
  </si>
  <si>
    <t>http://instagram.com/fco_cp/</t>
  </si>
  <si>
    <t>Alex Gallego</t>
  </si>
  <si>
    <t>QUé hace Santi Abascal con esa pelota? RT @vanesuki: El hito de 'El Gran Dictador': Chaplin logra reunir a más de un millón de espectadores en La 2 👏👏👏</t>
  </si>
  <si>
    <t>Aquí @Santi_ABASCAL diciendo verdades como puños sobre el movimiento feminista dictatorial y totalitario que estamos sufriendo. @VOX_es es el único partido que no se ha arrodillado ante el lobby feminista-comunista. 👏👏👏👏</t>
  </si>
  <si>
    <t>https://twitter.com/vanesuki/status/1063031970014339072
http://vertele.eldiario.es/audiencias-canales/analisis-espana/audiencias-miercoles14noviembre-elgrandictador-charlot-charlie-chaplin-la2-tve-diasdecine-clasico_0_2067693214.html</t>
  </si>
  <si>
    <t>pic.twitter.com/RPRAaUNL6w</t>
  </si>
  <si>
    <t>pic.twitter.com/NGetdFyfCM</t>
  </si>
  <si>
    <t>Illustrator, cartoonist, caricaturist, toy designer, 3d Printer and part-time Master of the Universe // Caricaturista del @DiariARA! i @ElJueves</t>
  </si>
  <si>
    <t>http://www.alexgallego.com</t>
  </si>
  <si>
    <t>RVH</t>
  </si>
  <si>
    <t>Según la @sextaNoticias, @Santi_ABASCAL "amenazó" con salir a enfrentarse a los cachorros podemitas. Aquí la amenaza ⬇️</t>
  </si>
  <si>
    <t>pic.twitter.com/412XgdgKk2</t>
  </si>
  <si>
    <t>Lo que ves es lo que hay, sin dobleces. Responsable social corporativa . Coordinadora de formación, maestra especialista en lenguas extranjeras.</t>
  </si>
  <si>
    <t>Alejandro</t>
  </si>
  <si>
    <t>Oye Santi @Santi_ABASCAL mierda seca, si en lugar de hablar hubieras salido, te habrían dejado la cara como una hogaza pasiega. Pero lo normal entre fachas como tú, es ladrar desde el otro lado, con los huevos bien cubiertos entre tu piara de seguidores</t>
  </si>
  <si>
    <t>Soy 1/3. Rol, videojuegos retro, coleccionar camisetas y el cine. Buscar trabajo también es un trabajo?</t>
  </si>
  <si>
    <t>DragonRapide</t>
  </si>
  <si>
    <t>Por favor, denunciar a este hijo de puta que desea la muerte de Ortega Lara. @vox_es @Santi_ABASCAL RT @sublinismo: Ortega Lara, vuélvete al zulo y muerete fascista de mierda.</t>
  </si>
  <si>
    <t>https://twitter.com/sublinismo/status/1063059037003177985</t>
  </si>
  <si>
    <t>"Respice post te, hominem te esse memento" 🎗=💩💩💩</t>
  </si>
  <si>
    <t>Ana Vázquez Blanco</t>
  </si>
  <si>
    <t>Inadmisible!! Desde las diferencias políticas e ideológicas con @vox_es y @Santi_ABASCAL ....Ortega Lara ha sido un referente!!que estuvo en un zulo por defender la libertad que estos gilipollas no respetan!! RT @lavozdegalicia: Ultras de izquierdas recibieron a gritos al exfuncionario de prisiones en un acto de VOX en Murcia</t>
  </si>
  <si>
    <t>https://twitter.com/lavozdegalicia/status/1063044438535081984
http://lavoz.gal/2iknm1</t>
  </si>
  <si>
    <t>Bande, España</t>
  </si>
  <si>
    <t>Ourensana.Diputada.Secretaria Nacional Emigración @PPopular @pp_exterior De centro e galeguista.Portavoz d Modelo Policial👮‍♀️Seguridad Nacional #CreoenOurense</t>
  </si>
  <si>
    <t>http://www.gppopular.es/diputados/ana-belen-vazquez/</t>
  </si>
  <si>
    <t>Diego Díaz Palomo</t>
  </si>
  <si>
    <t>La magia 🦉 no frenará a Santi Abascal, a Casado o a Rivera. Tú lucha SÍ ✊. #NoEsperesQueLaMagiaLoHagaPorTi. ¡AFÍLIATE! 👉 #AnimalesFantásticos RT @JSMadrid: La magia 🦉 no frenará a Santi Abascal, a Casado o a Rivera. Tú lucha SÍ ✊. #NoEsperesQueLaMagiaLoHagaPorTi. ¡AFÍLIATE! 👉 #AnimalesFantásticos</t>
  </si>
  <si>
    <t>http://jsmadrid.com/afiliate
https://twitter.com/JSMadrid/status/1063390055572692992</t>
  </si>
  <si>
    <t>pic.twitter.com/f7SH7a5OF0</t>
  </si>
  <si>
    <t>España real 🇪🇸</t>
  </si>
  <si>
    <t>Entiendo que esto significa que @PPopular dejará de hacer desprecios a los "extremistas de la derecha derechona", asumirá el programa político de @vox_es y elegirá a @Santi_ABASCAL como presidente y candidato al gobierno. Lo demás son brindis al sol y declaraciones oportunistas. RT @TeoGarciaEgea: Ortega Lara estuvo en un zulo por sus ideas, por defender la libertad. Los que le insultan son enemigos de la libertad, herederos de los defensores del muro de Berlín y de los regímenes totalitarios. Nos tendrán enfrente, defendiendo la libertad de todos.</t>
  </si>
  <si>
    <t>San Lorenzo de El Escorial, Es</t>
  </si>
  <si>
    <t>https://twitter.com/TeoGarciaEgea/status/1063032685386440704
https://www.elespanol.com/espana/20181114/detenidos-hombres-boicotear-vox-murcia-ortega-lara/353216057_0.html</t>
  </si>
  <si>
    <t>Concejal de Asuntos Sociales, Juventud y Sanidad del @aytosanlorenzo Portavoz del GMSocialista Graduado en Fundamentos de la Arquitectura | ETSAM | Socialista</t>
  </si>
  <si>
    <t>Somos más y mejores, pero no nos confiemos.</t>
  </si>
  <si>
    <t>Más comentados ahora en Cataluña/Catalanismo: ➀ @ramoncotarelo ↓ ➁ @sanchezcastejon ↑ ➂ @gallifantes ↓ ➃ @KRLS ↑ ➄ @InesArrimadas ↑ ➅ @toni_comin ↑↑ ➆ @pablocasado_ ↑ ➇ @Albert_Rivera ↑ ➈ @Santi_ABASCAL ↑</t>
  </si>
  <si>
    <t>Una cosa, @manuelvalls. Lo del cordón sanitario que pide para @vox_es, es algo como lo de ayer en #Murcia? Lo sentimos, no nos van a atemorizar, su imprudencia nos hace aún más fuertes. @Santi_ABASCAL @madrid_vox @VoxMurcia #EspañaViva</t>
  </si>
  <si>
    <t>Juventudes Socialistas de Madrid</t>
  </si>
  <si>
    <t>La magia 🦉 no frenará a Santi Abascal, a Casado o a Rivera. Tú lucha SÍ ✊. #NoEsperesQueLaMagiaLoHagaPorTi. ¡AFÍLIATE! 👉 #AnimalesFantásticos</t>
  </si>
  <si>
    <t>http://jsmadrid.com/afiliate</t>
  </si>
  <si>
    <t>Y con estas ideologías andamos por España @Albert_Rivera @Santi_ABASCAL @sanchezcastejon @pablocasado_ @Pablo_Iglesias_ RT @Rogelioalcubo: @josepastranote Entienda usted que es un deber moral de todas las personas el luchar contra el fascismo. Y si, le puedo hablar de Ortega Lara y me da mucha pena que haya acabado así.. parece que el secuestro no le volvió más sabio.</t>
  </si>
  <si>
    <t>https://twitter.com/Rogelioalcubo/status/1062833367429853184</t>
  </si>
  <si>
    <t>Una región por la que luchar, una generación con la que vencer y convencer ✊. Encuéntranos en Facebook, Instagram, Flickr y nuestra web 😀.</t>
  </si>
  <si>
    <t>http://www.jsmadrid.es</t>
  </si>
  <si>
    <t>Tomen nota. Son los holgazanes los que ni trabajan ni hacen nada. Ojos abiertos a la hora de votar. @FJL_EsRadio @Ortega_Smith @Santi_ABASCAL @monasterioR @Albert_Rivera @pablocasado RT @GirautaOficial: Hay que tener el alma podrida para desearle a Ortega Lara que vuelva al zulo.</t>
  </si>
  <si>
    <t>https://twitter.com/GirautaOficial/status/1063023671512653825</t>
  </si>
  <si>
    <t>Óscar</t>
  </si>
  <si>
    <t>El look Iznogud de Santi Abascal es una cosa que me explota la cabeza.</t>
  </si>
  <si>
    <t>https://pbs.twimg.com/media/DsHqFYHWsAAo2Ym.jpg</t>
  </si>
  <si>
    <t>Marcos Alonso</t>
  </si>
  <si>
    <t>Si hay unos impresentables llenos de odio que mientras vociferan barbaridades, salpican babas tóxicas comuneras, yo cada día que pasa tengo más claro en que lado quiero estar y permanecer. No es otro que el de la DEMOCRACIA Y LA LIBERTAD, con Ortega Lara y con @Santi_ABASCAL</t>
  </si>
  <si>
    <t>El corazón de un duque en el bolsillo de un mendigo.</t>
  </si>
  <si>
    <t>https://pbs.twimg.com/media/DsC1rFQWkAAjj_j.jpg</t>
  </si>
  <si>
    <t>Reino de España 🇪🇸</t>
  </si>
  <si>
    <t>Ex infante de Marina, patriota sin complejos y toledano. Uno más de la #EspañaViva</t>
  </si>
  <si>
    <t>Le Jonathan</t>
  </si>
  <si>
    <t>Una cosa @Santi_ABASCAL Lo de mentir así, descaradamente, en la cara, ¿es porque eres un facha de mierda o porque eres así de miserable?. Los únicos que manipuláis sois el facherío rancio e ignorante que tenemos por aquí.</t>
  </si>
  <si>
    <t>🇪🇸Rafa</t>
  </si>
  <si>
    <t>Increíble q siendo una de las instituciones más valoradas la @policia y la @guardiacivil y de las más arriesgadas y penosas para nuestra vida y familias estemos pudiendo q se haga justicia después de 30 años #EquiparacionYa @jusapol @vox_es @Santi_ABASCAL</t>
  </si>
  <si>
    <t>http://jotaqpov-cp506.wordpresstemporal.com/jotapov.com/2018/11/14/santiago-abascal-de-vox-miente-de-forma-flagrante-al-negar-las-palabras-del-video-viral-de-ortega-smith-se-fusilaba-con-amor/</t>
  </si>
  <si>
    <t>https://youtu.be/Xn8ffK4c6QI</t>
  </si>
  <si>
    <t>Cihuatanejo</t>
  </si>
  <si>
    <t>He venido a mascar chicle y patear culos y me he quedado sin chicle.</t>
  </si>
  <si>
    <t>Media vida sirviendo a las personas y así lo seguiré haciendo hasta el día que ya no pueda👮viva el CNP la GC y 🇪🇸</t>
  </si>
  <si>
    <t>Desde La Habana Cuba toda mi solidaridad y apoyo a VOX. VOTO VOX POR UNA ESPAÑA VIVA Y UNIDA SIN CORRUPCIÓN Y SIN TRAIDORES. @FJL_EsRadio @Ortega_Smith @Santi_ABASCAL @monasterioR VIVA VOX VOTO VOX</t>
  </si>
  <si>
    <t>¿Que es el festival que promueve el #CentroGalegodeBelgica? Pues darle unos euretes a los indepes catalanes. @ppdegalicia @FeijooGalicia @vox_es @Santi_ABASCAL @CiudadanosCs @Albert_Rivera @ldpsincomplejos @eslatarde @carlosherreracr @ExpositoCOPE @elentirvigo @CristinaSegui_</t>
  </si>
  <si>
    <t>pic.twitter.com/iyEsOmJ0KJ</t>
  </si>
  <si>
    <t>Plataforma en Defensa de las Fuentes</t>
  </si>
  <si>
    <t>.@elespanolcom ¿esto de llamar a @Vox_es de @Santi_ABASCAL "formación verde" no lleva un poco a confusión respecto a los ideales del partido? Porque la defensa del medio ambiente patrio no parece que esté entre sus prioridades...</t>
  </si>
  <si>
    <t>https://pbs.twimg.com/media/DsCxiwrX4AAV6_6.jpg</t>
  </si>
  <si>
    <t>Sistema Prebético</t>
  </si>
  <si>
    <t>La Plataforma en Defensa de las Fuentes de los ríos Segura y Mundo nace en verano de 2007 para hacer frente a los proyectos de pozos de sequía de la CHS.</t>
  </si>
  <si>
    <t>https://paisajesdelagua.wordpress.com/</t>
  </si>
  <si>
    <t>Fátima Pinacho F.</t>
  </si>
  <si>
    <t>Nuestro Presidente @Santi_ABASCAL apoyando a los funcionarios de prisiones Desde @vox_es estudiando la problemática que afecta a este colectivo.#Sosprisiones RT @VOX_Valencia: Reunión de @Santi_ABASCAL y José Antonio Ortega Lara con los representantes de los funcionarios de prisiones, para escuchar sus problemas y preocupaciones #TuabandonoMePuedeMatar #sosprisiones</t>
  </si>
  <si>
    <t>https://twitter.com/VOX_Valencia/status/1062822191983661056</t>
  </si>
  <si>
    <t>https://pbs.twimg.com/media/Dr_nJU1XcAA3M81.jpg</t>
  </si>
  <si>
    <t>Responsable Área Jurídica - VOX Valladolid. Técnico de la Administración. Por una #ValladolidNueva España en el corazón 🇪🇸</t>
  </si>
  <si>
    <t>LOS DOS VASCOS Y ESPAÑOLES VIERON A ESPAÑA EN PELIGRO Y DEMOSTRARON CON HECHOS SU AMOR A ESPAÑA Y A LOS ESPAÑOLES. Una nación no se pierde porque unos la ataquen, sino porque quienes la aman no la defienden. Blas de Lezo. Almirante español. 1689-1741 @Santi_ABASCAL #ConfíoEnVOX RT @pasanchezmatas: LOS DOS VASCOS Y ESPAÑOLES VIERON A ESPAÑA EN PELIGRO Y DEMOSTRARON CON HECHOS SU AMOR A ESPAÑA Y A LOS ESPAÑOLES. Una nación no se pierde porque unos la ataquen, sino porque quienes la aman no la defienden. (Blas de Lezo. Almirante español. 1689-1741). #ConfíoEnVOX</t>
  </si>
  <si>
    <t>https://twitter.com/pasanchezmatas/status/1062764281261944832</t>
  </si>
  <si>
    <t>vikuku</t>
  </si>
  <si>
    <t>https://pbs.twimg.com/media/Dr-ydKRXQAAH2Bi.jpg</t>
  </si>
  <si>
    <t>Me flipa la aviación</t>
  </si>
  <si>
    <t>Hola @eslatarde @ldpsincomplejos @ppdegalicia @FeijooGalicia @vox_es @Santi_ABASCAL @CiudadanosCs @Albert_Rivera ¿Y esto? ¿Ahora los gallegos financiamos golpistas?</t>
  </si>
  <si>
    <t>http://www.lavozdegalicia.es/noticia/galicia/2018/11/15/programadora-acto-centro-gallego-bruselas-dice-paz/0003_201811G15P6991.htm</t>
  </si>
  <si>
    <t>Alfonso Rojo López</t>
  </si>
  <si>
    <t>Más comentados ahora en Cataluña/Catalanismo: ➀ @ramoncotarelo ↑ ➁ @gallifantes ↑ ➂ @sanchezcastejon ↓ ➃ @InesArrimadas ↓ ➄ @KRLS ↑ ➅ @pablocasado_ ↓ ➆ @Santi_ABASCAL ↓ ➇ @Albert_Rivera ↓ ➈ @toni_comin ↓ ➉ @JoanTarda ↑</t>
  </si>
  <si>
    <t>Director de Periodista Digital. Cuenta Oficial</t>
  </si>
  <si>
    <t>http://www.periodistadigital.com</t>
  </si>
  <si>
    <t>Macarron Abrigao</t>
  </si>
  <si>
    <t>Y el señor @Santi_ABASCAL ha respondido diciendo que si ellos dejaran de hablar y salieran a plantar cara o algo asi.. Menudo político ejemplar. Repuestas de portero de discoteca no gracias. RT @numer344: Hoy, en un acto de VOX en Murcia, un nutrido grupo de podemitas y socialistas, ha gritado: "Ortega Lara, vuelve al zulo". También han hecho alusiones a ciertas amputaciones. Podría cagarme en toda su p. madre. Pero me satisface más evidenciar quien está con y contra el terrorismo</t>
  </si>
  <si>
    <t>https://twitter.com/numer344/status/1062845099502120965</t>
  </si>
  <si>
    <t>💜 🎗</t>
  </si>
  <si>
    <t>Aini85💙</t>
  </si>
  <si>
    <t>No es por @Santi_ABASCAL, él lamentablemente está acostumbrado a aguantar a esta gentuza. Me da pena por esa gente que va ilusionada al acto de un partido que le parece interesante y tienen que aguantar que sean insultados y agredidos. No es justo ¿Dónde está la libertad?</t>
  </si>
  <si>
    <t>#justiciaparaviancamoreno Lo hombres inteligentes quieren aprender.Los demás,enseñar. Defensora de los derechos de ECP. Vasca, ConservadurismoNacionalista👪🇪🇸</t>
  </si>
  <si>
    <t>https://www.change.org/p/maria-cristina-torres-gomez-justicia-para-vianca-moreno?recruiter=17872279&amp;</t>
  </si>
  <si>
    <t>Periodista Digital</t>
  </si>
  <si>
    <t>MaríaBeatle</t>
  </si>
  <si>
    <t>Abascal y sus compis, con sus cuñadeces: que si "a trabajar" y que "nosotros estamos con España y los otros en contra". Que sólo trabaja la gente de derechas, oye. @Santi_ABASCAL, por raro que te parezca, la izquierda es tan española como tú, así que cambia el disco. Ortega Lara</t>
  </si>
  <si>
    <t>Mi corazón, en Liverpool</t>
  </si>
  <si>
    <t>🎵Los Beatles son la mejor cura del alma.🎶 La indiferencia es el peso muerto de la historia. Gramsci -No DMs-</t>
  </si>
  <si>
    <t>Influir en la gente que influye. Síguenos también en https://www.facebook.com/PeriodistaDigit</t>
  </si>
  <si>
    <t>https://youtu.be/LmQ_3WODKOU</t>
  </si>
  <si>
    <t>Raul lopez vaquero</t>
  </si>
  <si>
    <t>Me encanta ver como @elpais_espana y @elespanolcom no hacen mencion alguna a lo sucedido ayer con @Santi_ABASCAL y Ortega Lara...medios de desinformacion mas bien pero que con un hecho tan vomitivo como este no hagan ni un apartado..ya se ve ya quien esta de un lado y del otro</t>
  </si>
  <si>
    <t>®LaManoNegradeHulio🇪🇸</t>
  </si>
  <si>
    <t>La realidad. Lo firmo ☝️ @vox_es @Santi_ABASCAL @Ortega_Smith</t>
  </si>
  <si>
    <t>https://pbs.twimg.com/media/DsClCg5XQAALypp.jpg</t>
  </si>
  <si>
    <t>Cuenta de humor cofrade, carnavalera, irónica, política y deportiva, que va en contra del buenismo. Crítica, pero siempre constructiva. Yo soy 🇪🇸</t>
  </si>
  <si>
    <t>Juanito Cabeza</t>
  </si>
  <si>
    <t>Por favor @pablocasado_ , @Albert_Rivera, @Santi_ABASCAL no permitáis que el indecente subnormal de @sanchezcastejon renuncie a la soberanía española de Gibraltar... o al menos que le salga caro... #FelizJueves</t>
  </si>
  <si>
    <t>https://okdiario.com/espana/2018/11/15/sanchez-renuncia-cosoberania-gibraltar-acuerdo-del-brexit-3351904?utm_campaign=inda&amp;utm_medium=Social&amp;utm_source=Twitter#Echobox=1542275203</t>
  </si>
  <si>
    <t>Periodista interesado en cultura, entretenimiento, deportes, economía y política.</t>
  </si>
  <si>
    <t>🔴 No te pierdas esta tarde en Sevilla a las 20:00 la charla-presentación del libro “La España Viva” con @monasterioR, @Ortega_Smith, @Santi_ABASCAL y el candidato a la presidencia de la Junta @FSerranoCastro. 📍Hotel Meliá Lebreros ¡No puedes faltar!</t>
  </si>
  <si>
    <t>https://pbs.twimg.com/media/DsCh0W3WwAA60q2.jpg</t>
  </si>
  <si>
    <t>Ana Rosa Quintana en su programa de Telecinco ha acusado a @Santi_ABASCAL de "crispar" en vez de señalar a los violentos podemitas y feministas que amenazaron e insultaron a Ortega Lara y a la gente que acudía al acto de Vox. ¿Qué hemos hecho para merecer estas Televisiones?</t>
  </si>
  <si>
    <t>VÍDEO. Vox exige a los medios de comunicación que revelen el origen de los delincuentes  @Santi_ABASCAL @Ortega_Smith @monasterioR</t>
  </si>
  <si>
    <t>http://www.ikusle.com/video-vox-exige-a-los-medios-de-comunicacion-que-revelen-el-origen-de-los-delincuentes/</t>
  </si>
  <si>
    <t>Más comentados ahora en Cataluña/Catalanismo: ➀ @ramoncotarelo ↓ ➁ @gallifantes ↑ ➂ @sanchezcastejon ↑ ➃ @InesArrimadas ↑ ➄ @Albert_Rivera ↑ ➅ @pablocasado_ ➆ @Santi_ABASCAL ↑ ➇ @KRLS ↓ ➈ @toni_comin ↓</t>
  </si>
  <si>
    <t>.@vox_es lo triste d España y d sus medios de comunicación manipulados por la izquierda es q se conozca del éxito d VOX ayer sólo por los disturbios q los podredumbre ultraizquierda liaron a los demócratas q fuimos libremente a apoyar a @Vox_Murcia a Ortega Lara y @Santi_ABASCAL</t>
  </si>
  <si>
    <t>Santi Abascal llegando a Nerja</t>
  </si>
  <si>
    <t>pic.twitter.com/B4Iwzcg6vS</t>
  </si>
  <si>
    <t>Lo de @Santi_ABASCAL te parece una amenaza @cayetanaAT ? Tu, el @PPopular y la gente como tu, si que os habéis convertido en una amenaza para la democracia, vete ya de la política insulsa</t>
  </si>
  <si>
    <t>https://pbs.twimg.com/media/DsCbn1RW4AAyGcO.jpg</t>
  </si>
  <si>
    <t>¡Hombre! ¡Menos mal! Como que ya iba siendo hora de que alguno se retratase, ¿no? A ver si cunde el ejemplo y se recupera aquel espíritu democrático de hace años (lo estoy escribiendo y, como siempre añado, no me lo estoy creyendo) @vox_es @Santi_ABASCAL @cakealatake RT @hermanntertsch: Aquí una dirigente del PP condena las agresiones comunistas contra Vox. Esperemos que lleguen más condenas del PP y Ciudadanos de la orgía de odio que pedía un nuevo Paracuellos y asesinar y despedar a la gente de derechas. Del PSOE también se habría esperado en otros tiempos.</t>
  </si>
  <si>
    <t>https://twitter.com/hermanntertsch/status/1063001783545552897
https://twitter.com/IdiazAyuso/status/1062850909917667329</t>
  </si>
  <si>
    <t>Tómate una caña por España esta tarde con nuestro presidente Santi Abascal. ✅ Vota a VOX</t>
  </si>
  <si>
    <t>De Madrid al Cielo ن</t>
  </si>
  <si>
    <t>Nuestro Presidente @Santi_ABASCAL decía que el que nos llamen Fachas nos lo ponemos como medallas. Muy cierto. Grupos podemitas comunistas "antifascistas" LGTB y Feminazis con su violencia, ataques, insultos y amenazas a Ortega Lara, hacen que desee ser todo lo contrario a ellos.</t>
  </si>
  <si>
    <t>100% Española, del Foro y con sangre gitana andaluza. Provida. Anarcoliberal, no aguanto que Papá-Estado me diga lo que tengo que hacer y pensar #LIBERTAD #VOX</t>
  </si>
  <si>
    <t>marcy mora</t>
  </si>
  <si>
    <t>Señores emerge un partido de ultraderecha en España se llama @vox_es a darle apoyo venezolanos que nosotros mandamos en twitter somos mayoria VIVA TRUMP, BOLSONARIO y Santiago Abascal Conde @Santi_ABASCAL no a la izquierda no al comunismo</t>
  </si>
  <si>
    <t>María Pérez Fdez.</t>
  </si>
  <si>
    <t>#Murcia @Santi_ABASCAL: "No conseguirán lo imposible atemorizar a @vox_es" por supuesto que no.</t>
  </si>
  <si>
    <t>pic.twitter.com/2PSim7hjCh</t>
  </si>
  <si>
    <t>buhonera mas no, bachaquera</t>
  </si>
  <si>
    <t>#Madre x 3 #MemoriaContraETA Administración Central #VOX. #Bilbao Mis raíces... en #ASTURIAS bien profundas. #España</t>
  </si>
  <si>
    <t>A 48 horas de hacer historia en Málaga @Santi_ABASCAL @Ortega_Smith @vox_es @vox_malaga @molto_garcia @FSerranoCastro 🇪🇸🇪🇸🇪🇸</t>
  </si>
  <si>
    <t>https://pbs.twimg.com/media/DsCWAjaW4AEVSHF.jpg</t>
  </si>
  <si>
    <t>Este mensaje lo anclaré aqui unos dias, sobre todo para aquellos medios de comunicación que empiezan a manipular las palabras de @Santi_ABASCAL en el acto de Murcia donde nos llamaban cobardes y Abascal dijo bromeando "si salieramos todos a la calle. ⬇️⬇️ RT @vox_es: 📹 La fuerza de la #EspañaViva 🇪🇸 ha quedada demostrada hoy en Murcia 💪</t>
  </si>
  <si>
    <t>https://twitter.com/vox_es/status/1062873815246688256?s=09</t>
  </si>
  <si>
    <t>#LaCafeteraMayDay Que vayan Santi Abascal y la cuadrilla fascista a Gibraltar armados con toda la parafernalia patriota. Ahí es donde se demuestran los cojones, no en un mitín en Murcia protegidos por 200 policias</t>
  </si>
  <si>
    <t>EDUARDSERRA1</t>
  </si>
  <si>
    <t>#LaCafeteraCartaAlRey Hoy @pablocasado_, @Albert_Rivera, @Santi_ABASCAL e @InesArrimadas, dicen que pintar un portal es violencia... ...alguien recuerda si alguna vez llamaron violencia a esto?</t>
  </si>
  <si>
    <t>👍👌Santi Abascal estalla y emite un demoledor vídeo contra Ferreras y la manipulación de laSexta  vía @Periodistadigit</t>
  </si>
  <si>
    <t>pic.twitter.com/vp5vPXR9s1</t>
  </si>
  <si>
    <t>Más comentados ahora en Cataluña/Catalanismo: ➀ @ramoncotarelo ↑ ➁ @gallifantes ↓ ➂ @sanchezcastejon ↓↓ ➃ @InesArrimadas ↓ ➄ @toni_comin ↓ ➅ @KRLS ↓ ➆ @Albert_Rivera ↓ ➇ @pablocasado_ ↓ ➈ @Santi_ABASCAL ↓</t>
  </si>
  <si>
    <t>🇪🇸 Antonio Silva 🇪🇸</t>
  </si>
  <si>
    <t>El respeto por los demás, y la democracia Marxista Leninista de los Socialistas. @victoriah991 @vox_es @hispanototal @vox_es_la_dcha @DuquedeAlba4 @vox_malaga @Santi_ABASCAL @LariojaVox @SalaverriMarina @LuisLasala1 @mjsanchezrubio</t>
  </si>
  <si>
    <t>https://pbs.twimg.com/media/DsCKvEtXcAAEkzr.jpg</t>
  </si>
  <si>
    <t>Twitter es el mejor ejecutor d</t>
  </si>
  <si>
    <t>Sentir empatía, por alguien que no conoces, que además te niegan a ti los derechos que te piden 😂😉😉😂</t>
  </si>
  <si>
    <t>El cambio en España ya es inevitable. La alternativa es @vox_es . Si quieres ser parte activa de ese cambio, AFILIATE AQUÍ  @madrid_vox @VOX_Alcala @Santi_ABASCAL @Ortega_Smith @monasterioR @demiguel2017 #EspañaViva</t>
  </si>
  <si>
    <t>DailyMur</t>
  </si>
  <si>
    <t>Ayer @Santi_ABASCAL a los q estaban fuera insultando y esputando todo tipo de necedades les llamó podredumbre... Yo creo q se quedó corto... La podredumbre tiene más categoría q la escoria q había en la puerta del Nelva intentando coartar a los q allí estábamos entrando...</t>
  </si>
  <si>
    <t>.@Santi_Abascal (#Vox): "#Murcia es una gran pagana del Estado de las Autonomías"  @diariolaopinion @VoxMurcia</t>
  </si>
  <si>
    <t>Murcia - España</t>
  </si>
  <si>
    <t>Noticias de la Región de Murcia.</t>
  </si>
  <si>
    <t>http://www.dailymur.com</t>
  </si>
  <si>
    <t>La pregunta a @FSerranoCastro en @eslamananadeFJL ¿amenazar cómo ha hecho @Santi_ABASCAL es el espíritu de @vox_es ? Después criticas a la sexta Federico... #VayaTelita</t>
  </si>
  <si>
    <t>Paco Luis</t>
  </si>
  <si>
    <t>No a todos los andaluces les gusta el mundo taurino, por si os interesa. @vox_es @Santi_ABASCAL</t>
  </si>
  <si>
    <t>Los políticos están por debajo de la media moral e intelectual de los ciudadanos, pero están al nivel de sus votantes</t>
  </si>
  <si>
    <t>Juntos Podremos</t>
  </si>
  <si>
    <t>En respuesta a @Santi_ABASCAL El apoyo a @vox_es está creciendo cada día y se nota en el contacto directo con la gente...y no es creíble que las encuestas le otorguen sólo un Escaño...cuando todo apunta que podría ser la gran sorpresa de las elecciones en andalucia!</t>
  </si>
  <si>
    <t>Las políticas de género generan + violencia = causas, NO género = biología, NO ideologia = discriminación. Apoyo el veganismo y los derechos animales/ humanos.</t>
  </si>
  <si>
    <t>Más comentados ahora en Izquierda/Centro Izqda.: ➀ @sanchezcastejon ↑ ➁ @PSOE ↑ ➂ @protestona1 ↑↑ ➃ @ahorapodemos ↑↑ ➄ @pablocasado_ ↑ ➅ @InesArrimadas ↑ ➆ @Albert_Rivera ↑ ➇ @PPopular ↑ ➈ @Santi_ABASCAL ↑</t>
  </si>
  <si>
    <t>Más comentados ahora en Cataluña/Catalanismo: ➀ @ramoncotarelo ↓ ➁ @sanchezcastejon ↑ ➂ @gallifantes ↓ ➃ @InesArrimadas ↓ ➄ @Santi_ABASCAL ↓↓ ➅ @Albert_Rivera ↓↓ ➆ @pablocasado_ ↓↓ ➇ @toni_comin ↓ ➈ @KRLS ↓</t>
  </si>
  <si>
    <t>The Special One</t>
  </si>
  <si>
    <t>No se equivocó ayer @Santi_ABASCAL @Vox_Murcia cuando dijo que algún medio utilizaría sus palabras en broma de forma malintencionada. @laverdad_es</t>
  </si>
  <si>
    <t>Aurora Palacios</t>
  </si>
  <si>
    <t>https://pbs.twimg.com/media/DsCDYtIXQAEgW9T.jpg</t>
  </si>
  <si>
    <t>Preciosos caballos andaluces Santi Abascal "reconquista" Andalucía a caballo y las redes se llenan de memes  vía @elmundoes</t>
  </si>
  <si>
    <t>https://www.elmundo.es/f5/comparte/2018/11/12/5be9beeb468aeb8e558b45b4.html</t>
  </si>
  <si>
    <t>Hay que amurallar España y volver a la peseta. Un gañan que pierde mucho en persona.</t>
  </si>
  <si>
    <t>Persona de letras. Números, los que sean justos. Pacifista. Feminista. Con el sentido del humor que te falta a ti. Enseñante y aprendiente.</t>
  </si>
  <si>
    <t>http://www.aurorapalacios.com</t>
  </si>
  <si>
    <t>Sgt Pepper's</t>
  </si>
  <si>
    <t>Gente de @vox_es @Santi_ABASCAL preparándose para la Reconquista de Gibraltar</t>
  </si>
  <si>
    <t>https://pbs.twimg.com/media/DsCC_yKWoAEmUaA.jpg</t>
  </si>
  <si>
    <t>#4D #Caparros</t>
  </si>
  <si>
    <t>Pepe Sanchez</t>
  </si>
  <si>
    <t>Donde andará la Fiscalía ? @sanchezcastejon @Albert_Rivera @pablocasado_ @ahorapodemos @Santi_ABASCAL</t>
  </si>
  <si>
    <t>Manuela Murias Celor</t>
  </si>
  <si>
    <t>http://www.outono.net/elentir/2018/11/14/matones-comunistas-amenazan-de-muerte-a-simpatizantes-de-vox-y-de-hazteoir-en-murcia/</t>
  </si>
  <si>
    <t>Ingeniero Industrial,MBA por Deusto, jubilado, comerciante consorte, padre consultor, tertuliano, deportista amateur y abuelo canguro.</t>
  </si>
  <si>
    <t>PasoDeTi</t>
  </si>
  <si>
    <t>Os "mataremos como en Paracuellos ...eso han gritado, supongo que ya habrá tuits de @Pablo_Iglesias_ y de @ierrejon criticando este hecho, no? @Santi_ABASCAL hay tuits?? Ah! no los hay... Pero cómo es eso??? Cállate facha!!! #Hipocresia #GentePeligrosa #Noalcomunismo</t>
  </si>
  <si>
    <t>pic.twitter.com/1t91rIOiwL</t>
  </si>
  <si>
    <t>Cansados de agresiones de la izquierda, cuando @Santi_ABASCAL dice lo q muchos pensamos, @anarosaq le acusa d incitar al odio y dice q cambie el discurso. Inmediatamente después aparecen agresiones al domicilio del juez Llarena. La autodefensa es legítima. Nada + q decir @vox_es</t>
  </si>
  <si>
    <t>Ayer en Murcia @vox_es fue agredido y amenazado de muerte por las ordas comunistas de @ahorapodemos , pero para #AR15N las críticas son para @Santi_ABASCAL por contar a "los de dentro" lo que pasaba fuera. No están acostumbrados a oir la verdad.</t>
  </si>
  <si>
    <t>Actos como el de ayer en Murcia demuestra claramente que la ultraizquierda radikal y fascista está cada vez más extendida e incitan al odio. Ésto demuestra que @vox_es crece a pasa agigantados 🇪🇸🇪🇸🇪🇸🇪🇸🇪🇸🇪🇸🇪🇸🇪🇸🇪🇸🇪🇸🇪🇸 Todo mi apoyo a @Santi_ABASCAL y al juez Llarena</t>
  </si>
  <si>
    <t>Ultras de izquierda boicotean el acto de VOX en Murcia: "Os mataremos como en Paracuellos" Dentro @Santi_ABASCAL agradecía a los presentes su asistencia al acto y hacia duras críticas contra @ahorapodemos por enviar a sus cachorros a</t>
  </si>
  <si>
    <t>Hetero muerto abonó pa mi huerto??? Han tenido que estar una noche dándole que te pego para sacar esa rimilla tan graciosilla !!! @Santi_ABASCAL @vox_es valientes!!!</t>
  </si>
  <si>
    <t>Más comentados ahora en Izquierda/Centro Izqda.: ➀ @sanchezcastejon ↑ ➁ @PSOE ↓ ➂ @pablocasado_ ↑ ➃ @InesArrimadas ↑ ➄ @publico_es ↑ ➅ @PPopular ↓ ➆ @Albert_Rivera ➇ @susanadiaz ↑ ➈ @Santi_ABASCAL ↑ ➉ @ahorapodemos ↑</t>
  </si>
  <si>
    <t>Más comentados ahora en Cataluña/Catalanismo: ➀ @ramoncotarelo ↓ ➁ @gallifantes ↓ ➂ @InesArrimadas ↓ ➃ @pablocasado_ ↑ ➄ @Santi_ABASCAL ↑ ➅ @Albert_Rivera ↑ ➆ @sanchezcastejon ↓ ➇ @KRLS ↑ ➈ @toni_comin ↑</t>
  </si>
  <si>
    <t>Más influyentes ahora en Derecha/Centro Dcha.: ➀ @ldpsincomplejos ↑ ➁ @isanseba ↑ ➂ @Er_Richal ↑ ➃ @mcyava ↑ ➄ @DigitalSevilla ↓ ➅ @vox_es ↑ ➆ @JOSEMANUELSOTO1 ↑ ➇ @hermanntertsch ↑ ➈ @Santi_ABASCAL ↓ ➉ @Bribon1970 ↓</t>
  </si>
  <si>
    <t>Fran Martinez ❄️</t>
  </si>
  <si>
    <t>La entrega del CGPJ a la izquierda radical por parte de @pablocasado_ , acaba con las posibilidades de que vote al PP. Pero tampoco voy a votar a Vox en las generales, si me tienen bloqueado @vox_es y @santi_abascal .</t>
  </si>
  <si>
    <t>https://twitter.com/SER_Murcia/status/1062766449436094466</t>
  </si>
  <si>
    <t>pic.twitter.com/4yytrnb5Dw</t>
  </si>
  <si>
    <t>Reino de Murcia  España</t>
  </si>
  <si>
    <t>Español. Madridista. Católico. Mouriñista. Murciano. Los españoles, primero, y segundo , y tercero , y..... . RT no es estar de acuerdo</t>
  </si>
  <si>
    <t>.@Santi_ABASCAL afirmó que en @vox_es son "antifascistas, antinazis y anticomunistas"</t>
  </si>
  <si>
    <t>https://www.laopiniondemurcia.es/comunidad/2018/11/15/provocaron-guerra-perdieron-80-anos/972234.html</t>
  </si>
  <si>
    <t>ÆPasión por EspañaÆ</t>
  </si>
  <si>
    <t>#EspañaEsUna #SuperVox #Vox #VozAvanza #EspañaLoPrimero #LaEspañaQueMadruga #LaEspañaQueTrabaja voxnoticias_es: 📺 El programa de fake news de Ferreras DebatAlRojoVivo también habla de "amenaza" y corta el momento en el que Santi_ABASCAL dice que está…</t>
  </si>
  <si>
    <t>pic.twitter.com/UZCFZnKIoz</t>
  </si>
  <si>
    <t>Nacional-Sensacionalistas de extrema necesidad #EspañaEsUna #stopUE #stopOTAN #stopSionismo #stopGlobalizacion #stopInmigracion #stopIslam #stopFemimarxismo</t>
  </si>
  <si>
    <t>http://xn--pasionxespaa-khb.es</t>
  </si>
  <si>
    <t>👉🏻Se acercan fechas electorales, fechas de destapar las mentiras de la propaganda de la ultraizquierda radical  @AntoniCamps @xpericay @jcamposasensi @MMContesti @GomaMariano @Santi_ABASCAL @Tonicanto1 @gsampolfer @ERIKEO5555 @paatri_guerrero @angelmigeva</t>
  </si>
  <si>
    <t>Sergio</t>
  </si>
  <si>
    <t>La Sexta en su informativo presentado por Helena Resano presentó a los energúmenos que boicotearon el acto de Vox de antifascistas, y llego a decir que Santi Abascal "llegó a amenazar con salir a enfrentarse a ellos", manipulando los vídeos del acto.</t>
  </si>
  <si>
    <t>https://www.diaribalear.es/se-acercan-fechas-electorales-fechas-de-destapar-las-mentiras-de-la-propaganda-de-la-ultraizquierda-radical/</t>
  </si>
  <si>
    <t>Conservador, liberal y monárquico.</t>
  </si>
  <si>
    <t>"@Santi_ABASCAL carga contra los MATONES Y ESCUADRISTA de Pablo Iglesias y Podemos" Lleno absoluto en Murcia, Abascal tiene que salir fuera para hablarles a los que no pudieron entrar #FelizJueves #EspañaViva #EleccionesYa #Vox #VOXUtil #AndalucíaPorEspaña</t>
  </si>
  <si>
    <t>https://youtu.be/npe7qut04G4</t>
  </si>
  <si>
    <t>Declaraciones de @Santi_ABASCAL para el diario @laverdad_es Abascal: «Para callarnos nos tendrán que meter en la cárcel»  vía @laverdad_es</t>
  </si>
  <si>
    <t>https://www.laverdad.es/murcia/abascal-callarnos-meter-20181115011216-ntvo.html</t>
  </si>
  <si>
    <t>Raúl Jiménez</t>
  </si>
  <si>
    <t>¿El poder de convocatoria de @vox_es y @Santi_ABASCAL es natural? ¿No hay truco? Los otros partidos no llenan una sala de cine y a Vox no le entran los asistentes en un auditorio... ¿no hay nada raro?</t>
  </si>
  <si>
    <t>Alicante</t>
  </si>
  <si>
    <t>CEO Nicripsia Internet http://www.soy.es</t>
  </si>
  <si>
    <t>http://es.linkedin.com/in/rauljimenezperez/</t>
  </si>
  <si>
    <t>Hola @crisschlichting ¿cuando te reías y tratabas de ridiculizar las necesidades de seguridad de @Santi_ABASCAL te referías a esto? Y encima, a lo mejor, los asistentes se encomendaron a Dios ante los ataques. Eso ¿vas a criticarlo también?. RT @FrayJosepho: "Facha, pardillo, tu boca en el bordillo","Ortega Lara, de vuelta al zulo","sin piernas y sin brazos, fascistas a pedazos","os mataremos como en Paracuellos", "independencia para Cataluña"... gritaban EN MURCIA los (según la prensa progre) "antifascistas".</t>
  </si>
  <si>
    <t>"@vox_es un partido de EXTREMA NECESIDAD. Entrevista Santiago Abascal en TRECE TV en El Cascabel. 12.11.2018 @RSInews @Santi_ABASCAL @hisomatemps @elentirvigo @DolcaCatalunya  vía @YouTube</t>
  </si>
  <si>
    <t>https://twitter.com/FrayJosepho/status/1062825614024077314
https://www.libertaddigital.com/espana/2018-11-14/ultras-de-izquierda-boicotean-el-acto-de-vox-en-murcia-os-mataremos-como-en-paracuellos-1276628249/</t>
  </si>
  <si>
    <t>Antonio Martinez</t>
  </si>
  <si>
    <t>Vox_Merida : Miotroyo2parte Santi_ABASCAL laSextaTV Tremendo y muy burdo.</t>
  </si>
  <si>
    <t>https://pbs.twimg.com/media/DsG3SY7WoAAkVaj.jpg</t>
  </si>
  <si>
    <t>Mariola Cristóbal  🔻</t>
  </si>
  <si>
    <t>Hola, @Albert_Rivera @pablocasado_ @Santi_ABASCAL ¿Ya estáis cara al sol?</t>
  </si>
  <si>
    <t>Castilla y León, España</t>
  </si>
  <si>
    <t>Antonio Martinez -- Por España un paso al frente !!!</t>
  </si>
  <si>
    <t xml:space="preserve">Llastres. Ahora Barcelona. </t>
  </si>
  <si>
    <t>Panoplia de sensaciones 🎬 La vida, no es como la has visto en el cine</t>
  </si>
  <si>
    <t>👉🏻Un regidor de Podemos en Marratxí llama “fascistas” a los vecinos que afirman que votarán a VOX  @ActuaBaleares @jcamposasensi @gsampolfer @paatri_guerrero @MMContesti @CristinaSegui_ @idoia_ribas @AzraVox @JUANJOSESENDIN @vox_es @Santi_ABASCAL</t>
  </si>
  <si>
    <t>https://www.diaribalear.es/un-regidor-de-podemos-en-marratxi-llama-fascistas-a-los-vecinos-que-afirman-que-votaran-a-vox/</t>
  </si>
  <si>
    <t>VOX Barajas</t>
  </si>
  <si>
    <t>Al final los inconscientes niños pijos comunistas lo han conseguido... volver al 36... El relativismo moral tiene consecuencias y reírse así de las víctimas de un infame asesino comunista debe tener respuesta legal. @VOX_Paracuellos @Santi_ABASCAL @vox_es @voxnoticias_es</t>
  </si>
  <si>
    <t>https://pbs.twimg.com/media/DsBrRyiX4AA_3NS.jpg</t>
  </si>
  <si>
    <t>Casco Histórico de Barajas</t>
  </si>
  <si>
    <t>El partido de la coherencia y la dignidad,el que defiende a España y a los españoles está en Barajas. Contáctanos por DM o en barajas.madrid@madrid.voxespana.es</t>
  </si>
  <si>
    <t>https://www.facebook.com/madrid.vox/</t>
  </si>
  <si>
    <t>Querido @Santi_ABASCAL , somos profesionales constitucionalistas de RTVE. Ayúdanos a difundir 👇</t>
  </si>
  <si>
    <t>https://twitter.com/CasoAislado_Es/status/1062766747332288512</t>
  </si>
  <si>
    <t>pic.twitter.com/LFtbQf0446</t>
  </si>
  <si>
    <t>https://chn.ge/2zFfoLl</t>
  </si>
  <si>
    <t>Los 20 tuits más RTs de @joninarritu @santi_abascal @gallifantes @krls @inesarrimadas @albanodante76 @albert_rivera @gabrielrufian @joanmena @nanchinho @maesepads @teresarodr_ @beatrizbecerrab @carrizosacarlos el miércoles 14 de noviembre</t>
  </si>
  <si>
    <t>https://twitter.com/trendinaliaES/timelines/1062950566182051840</t>
  </si>
  <si>
    <t>🔥🔥🔥 las turbas de Podemos, anoche insultaron e intentaron agredeir a los asistentes a nuestro acto de Murcia. Su comportamiento totalitario es inútil, la #EspañaViva no tiene miedo 💪🇪🇸 SOIS MIS ÍDOLOS...TODOS A VOTAR A @Santi_ABASCAL</t>
  </si>
  <si>
    <t>Más comentados ahora en Cataluña/Catalanismo: ➀ @ramoncotarelo ↑↑ ➁ @gallifantes ↑↑ ➂ @InesArrimadas ↑↑ ➃ @sanchezcastejon ↑↑ ➄ @Albert_Rivera ↑↑ ➅ @pablocasado_ ↑↑ ➆ @Santi_ABASCAL ↑↑ ➇ @NoeMartri ↓ ➈ @JORDINADOR ↓</t>
  </si>
  <si>
    <t>Nicolás Márquez</t>
  </si>
  <si>
    <t>Somos la Derecha: el gran @Santi_ABASCAL (lider de VOX, el partido alternativo de España) @AgustinLaje y Javier Villamor.</t>
  </si>
  <si>
    <t>Mar del Plata, Argentina</t>
  </si>
  <si>
    <t>Escritor/abogado. Políticamente de derecha. Autor de 14 libros. https://www.amazon.com/Nicol%C3%A1s-M%C3%A1rquez/e/B001JO90MA http://www.prensarepublicana.com</t>
  </si>
  <si>
    <t>https://www.facebook.com/nicolasmarquezoficial</t>
  </si>
  <si>
    <t>luuu</t>
  </si>
  <si>
    <t>acabo de oír a @Santi_ABASCAL hablando sobre la concentración de antifas, diciéndo que estaba cargada de odio. e, pero tu discurso transfóbo, homófobo y xenófobo, no. me apasiona su doble moral, si señor.</t>
  </si>
  <si>
    <t>Avilés, Asturias</t>
  </si>
  <si>
    <t>disidencia donde el conformismo estorba !!! ☮ ️♀ @laraizband</t>
  </si>
  <si>
    <t>Javier Gálvez Monné</t>
  </si>
  <si>
    <t>"Sin piernas y sin brazos, fascistas a pedazos" los opositores de @VOX proponen asesinar a sus militantes, separarles las extremidades del cuerpo y cortarles el cuerpo a cachitos. Vamos, lo mismo que le hicieron a khashoggi. ¿Decir esto es legal? 🤔🤔 @Santi_ABASCAL RT @CasoAislado_Es: "Sin piernas y sin brazos, fascistas a pedazos", así están recibiendo los podemitas y las feministas a los asistentes al acto de @vox_es. La Policía Nacional está evitando que agredan a los que acceden al hotel en el que se realiza el acto. También han insultado a @Santi_ABASCAL</t>
  </si>
  <si>
    <t>Padre. Y luego periodista, presentador, reportero, emprendedor, operador de drones. Catalán de los que unen, no de los que separan. 18 años en Telemadrid.</t>
  </si>
  <si>
    <t>Pues hubiera estado bien.!!! “ @Santi_ABASCAL, a los asistentes al mitin: «Mira que si ahora saliéramos todos ahí fuera...»“</t>
  </si>
  <si>
    <t>https://www.laverdad.es/murcia/abascal-pide-dimision-20181114201521-nt.html</t>
  </si>
  <si>
    <t>Apolo.</t>
  </si>
  <si>
    <t>A González Churiaque ن 🇪🇸</t>
  </si>
  <si>
    <t>Me llama la atención que el personal se alarme por la subida de la "extrema derecha" pero no de la "extrema izquierda" ¿Demócratas? ayer ante un acto de @vox_es en #Murcia con @Santi_ABASCAL y Ortega Lara "sin piernas y sin brazos, fascistas a pedazos" 🇪🇸</t>
  </si>
  <si>
    <t>Los buenos van al cielo los malos a todas partes</t>
  </si>
  <si>
    <t>https://www.libertaddigital.com/espana/2018-11-14/ultras-de-izquierda-boicotean-el-acto-de-vox-en-murcia-os-mataremos-como-en-paracuellos-1276628249/</t>
  </si>
  <si>
    <t>#VERDE 👑 #AdiestramientoCanino #Cinología, #CommunityManager #ComunicaciónCorporativa saharaui de nacimiento, aragonés de adopción y español de corazón 🇪🇸</t>
  </si>
  <si>
    <t>Videogame Depressive</t>
  </si>
  <si>
    <t>Hola @Santi_ABASCAL mi padre se ha afiliado a Vox y como yo soy de derechas desde chiquetito me gustaria que me siguieras por favor gracias, haz de España una grande otra vez.</t>
  </si>
  <si>
    <t>https://okdiario.com/espana/2018/11/13/zasca-abascal-rufian-llamarle-senorito-andaluz-pregunta-casa-patan-3346680</t>
  </si>
  <si>
    <t>Que leas lo que escribo no significa que sepas lo que pienso y/o siento.</t>
  </si>
  <si>
    <t>RichardF</t>
  </si>
  <si>
    <t>Lo que me parece increíble es que @Santi_ABASCAL sea el único que dice lo que es de sentido común. Los demás, todos a favor de la inmigración ilegal. Repito, ILEGAL. Se les ha ido la olla con el correctismo político y lo van a pagar en las urnas. RT @Miotroyo2parte: Podrá gustar más o menos @vox_es, pero lo que está claro es que no hay otro líder político en España que hable tan claro sobre inmigración como lo hace @Santi_ABASCAL. Eso es así.</t>
  </si>
  <si>
    <t>La inteligencia es el único tesoro que está bien repartido, todo el mundo cree que tiene suficiente.</t>
  </si>
  <si>
    <t>Manstein</t>
  </si>
  <si>
    <t>.@CasaReal @pablocasado_ @Santi_ABASCAL Viva España y V.E.R.D.E. RT @FNFFranco: En defensa del Rey. Por Juan Chicharro Ortega General de División de Infantería de Marina ( R )  vía @fnffranco @ValleToca @hermanntertsch @larazon_es @Edu_AriasAE @ipeutrera @okdiario @PioMoa1 @LuisAlfBorbon @La_SER @encasadeherrero @c</t>
  </si>
  <si>
    <t>https://twitter.com/fnffranco/status/1062825923936952321
https://fnff.es/actualidad/26713708/En-defensa-del-Rey.-Por-Juan-Chicharro-Ortega-General-de-Division-de-Infanteria-de-Marina--R-.html</t>
  </si>
  <si>
    <t>albertico 131313</t>
  </si>
  <si>
    <t>Este año el anuncio de la Lotería de Navidad dedicado a Santiago Abascal. #LoteríaNavidad #parecidos @Santi_ABASCAL #vox</t>
  </si>
  <si>
    <t>Pablo Casais Cob</t>
  </si>
  <si>
    <t>Santi Abascal con Jordi, follonero, en el bar de Salvador Monedero  vía @YouTube</t>
  </si>
  <si>
    <t>Español🇪🇸🇪🇸🇪🇸🇪🇸🇪🇸</t>
  </si>
  <si>
    <t>https://pbs.twimg.com/media/Dr_ApcoX4AAacTM.jpg</t>
  </si>
  <si>
    <t>https://youtu.be/vCzgGgIgofk</t>
  </si>
  <si>
    <t>Alumno e la E.T. de Valencia La muerte está al servicio de los toreros, para darles inmortalidad y gloria, como a los dioses de Roma.</t>
  </si>
  <si>
    <t>Más comentados ahora en Cataluña/Catalanismo: ➀ @ramoncotarelo ↓ ➁ @gallifantes ↓ ➂ @sanchezcastejon ↑ ➃ @InesArrimadas ↓ ➄ @Albert_Rivera ↓ ➅ @pablocasado_ ↓ ➆ @Santi_ABASCAL ↓ ➇ @jcanadellb ↑ ➈ @culebra1978 ↑↑</t>
  </si>
  <si>
    <t>San Sebastián</t>
  </si>
  <si>
    <t>Sergio Márquez Rincón Español🇪🇸</t>
  </si>
  <si>
    <t>Otegui asesino directa o indirectamente a mas de 800 personas. @vox_es ai que saber quien es este tipajo. @Santi_ABASCAL</t>
  </si>
  <si>
    <t>Militante de VOX,operario de fábrica, Defensor de los derechos de los Españoles, defensor de España. me apasiona la politíca y la Historia. Padre de familia.</t>
  </si>
  <si>
    <t>Buenos dás RVH desde Huelva un cordial saludo. Así nos reciben estos seres de POaz al llegar al acto de @santi_Abascal en Murcia " Son 4 1,2,3 4 ¡vaaaaamos @vos_es! RT @Velherro: Así nos reciben estos seres de paz al llegar al acto de @Santi_ABASCAL en Murcia ". Son 4 👉1, 2, 3, 4 ¡Vaaaaamooooossss, @vox_es ! 💪🏻🇪🇸🇪🇸🇪🇸</t>
  </si>
  <si>
    <t>https://twitter.com/Velherro/status/1062764702990766083</t>
  </si>
  <si>
    <t>pic.twitter.com/34Izz2F0hS</t>
  </si>
  <si>
    <t>Zenón</t>
  </si>
  <si>
    <t>Santi Abascal estalla y emite un demoledor vídeo contra Ferreras y la manipulación de laSexta | Periodista Digital #GHVIPGala10</t>
  </si>
  <si>
    <t>https://www.periodistadigital.com/periodismo/tv/2018/11/15/abascal-estalla-y-emite-un-demoledor-video-contra-ferreras-y-la-manipulacion-de-lasexta.shtml#.W-4fUfLrCz4.twitter</t>
  </si>
  <si>
    <t>Más comentados ahora en Izquierda/Centro Izqda.: ➀ @sanchezcastejon ↓ ➁ @InesArrimadas ↑ ➂ @Albert_Rivera ↑↑ ➃ @pablocasado_ ↓ ➄ @Santi_ABASCAL ↑ ➅ @Portabales_Hijo ↓ ➆ @PPopular ↑ ➇ @PSOE ↑ ➈ @txuslaguay</t>
  </si>
  <si>
    <t>Santi Abascal estalla y emite un demoledor vídeo contra Ferreras y la manipulación de laSexta | Periodista Digital .</t>
  </si>
  <si>
    <t>https://www.periodistadigital.com/periodismo/tv/2018/11/15/abascal-estalla-y-emite-un-demoledor-video-contra-ferreras-y-la-manipulacion-de-lasexta.shtml#.W-4fH7S0UNw.twitter</t>
  </si>
  <si>
    <t>Más comentados ahora en Cataluña/Catalanismo: ➀ @ramoncotarelo ↑ ➁ @sanchezcastejon ↓ ➂ @gallifantes ↑ ➃ @NoeMartri ↑↑ ➄ @InesArrimadas ↑ ➅ @gabrielrufian ➆ @pablocasado_ ↑ ➇ @anamirandapaz ↓ ➈ @Santi_ABASCAL ↑</t>
  </si>
  <si>
    <t>Más comentados ahora en Derecha/Centro Dcha.: ➀ @ldpsincomplejos ↓ ➁ @sanchezcastejon ↑ ➂ @DigitalSevilla ↑↑ ➃ @Er_Richal ↑ ➄ @Santi_ABASCAL ↑ ➅ @vox_es ➆ @mcyava ↑↑ ➇ @Nanchinho ↑ ➈ @joosearodriguez ↓ ➉ @isanseba ↓↓</t>
  </si>
  <si>
    <t>Andalucía, como en sus mejores tiempos, volverá a hacer historia para España. #AndalucíaPorEspaña entregará a VOX las llaves de San Telmo para echar a los señoritos de la Junta tras cuarenta años de corrupción, clientelismo y víctimismo autonómico. #VotaVOX</t>
  </si>
  <si>
    <t>Más comentados ahora en Cataluña/Catalanismo: ➀ @ramoncotarelo ↑ ➁ @JORDINADOR ↑ ➂ @pablocasado_ ↑ ➃ @gallifantes ↑↑ ➄ @Santi_ABASCAL ↑ ➅ @InesArrimadas ↓ ➆ @Albert_Rivera ➇ @sanchezcastejon ➈ @PPopular ↑</t>
  </si>
  <si>
    <t>Matones podemitas gritaron consignas proetarras y contra Ortega Lara en el Hotel Nelva de Murcia a los asistentes al acto de @Santi_ABASCAL @vox_es. Hubo amenazas de muerte, insultos e intentos de agresión. La extrema izquierda evidencia ser un peligro real para Espańa.</t>
  </si>
  <si>
    <t>Más influyentes ahora en Derecha/Centro Dcha.: ➀ @ldpsincomplejos ↓ ➁ @isanseba ↓ ➂ @yolandacmorin ↑ ➃ @dlacalle ↑ ➄ @rosadiezglez ➅ @joosearodriguez ↓ ➆ @aburrido354 ↑ ➇ @Santi_ABASCAL ↓ ➈ @JOSEMANUELSOTO1 ↓</t>
  </si>
  <si>
    <t>Más comentados ahora en Cataluña/Catalanismo: ➀ @ramoncotarelo ↓↓ ➁ @InesArrimadas ↑ ➂ @Albert_Rivera ↓ ➃ @pablocasado_ ↓ ➄ @gabrielrufian ↑↑ ➅ @Santi_ABASCAL ↓ ➆ @JORDINADOR ↑ ➇ @sanchezcastejon ↑ ➈ @NoeMartri ↑</t>
  </si>
  <si>
    <t>Daniel Sanz</t>
  </si>
  <si>
    <t>.@Santi_ABASCAL nadie os callará, ni en Murcia, ni en la Carrera de San Jerónimo. Tenemos que condenar que la ultra izquierda quiera limitar la libertad de las personas; hoy ha sido a @vox_es, mañana será a otros. Mucha fuerza!!</t>
  </si>
  <si>
    <t>Arquitecto, de tus lados incorrectos. En @UPYD.</t>
  </si>
  <si>
    <t>Rubén Acuña</t>
  </si>
  <si>
    <t>#MEGADEBATE hoy falta santi abascal</t>
  </si>
  <si>
    <t>paso por parla</t>
  </si>
  <si>
    <t>Si @Santi_ABASCAL no me da una demostración de que su militancia tiene mas cojones que la izquierda de Soros...para que voy a votar por él?..es hora de mostrar los músculos. RT @alonso_dm: La extrema izquierda manda a sus cachorros a reventar un acto de Vox en Murcia. Esos bracitos y esas voces agudas y chirriantes me recuerdan mucho a lo que se vio en la campaña electoral de Trump, tiene la firma Soros.</t>
  </si>
  <si>
    <t>https://twitter.com/alonso_dm/status/1062799262323482624</t>
  </si>
  <si>
    <t>pic.twitter.com/WUV7f4vRJo</t>
  </si>
  <si>
    <t>anestesia Total.</t>
  </si>
  <si>
    <t>Santi Abascal (VOX): "Así manipula LaSextaTv de Ferreras y compinches"  vía @Periodistadigit</t>
  </si>
  <si>
    <t>http://www.periodistadigital.tv/santi-abascal-vox-asi-manipula-lasextatv-de-ferreras-y-compinches_26ef78bf8.html</t>
  </si>
  <si>
    <t>Ragnar Lodbrok</t>
  </si>
  <si>
    <t>“Anda que si salimos ahí fuera...” Eres demasiado GRANDE @Santi_ABASCAL Yo voto @vox_es RT @vox_es: 📹 La fuerza de la #EspañaViva 🇪🇸 ha quedada demostrada hoy en Murcia 💪</t>
  </si>
  <si>
    <t>ESPAÑOL y MADRIDISTA .... no me entiende ni Dios,me vas a entender tu ;que además eres gilipollas.. o gilipollo...No se nos ofenda nadie.</t>
  </si>
  <si>
    <t>Santi Abascal (VOX): 'Así manipula LaSextaTv de Ferreras y compinches'</t>
  </si>
  <si>
    <t>Suecia y Dinamarca</t>
  </si>
  <si>
    <t>Luchamos. Así es como hemos ganado. Y esta es la forma en la que moriremos.</t>
  </si>
  <si>
    <t>Atención @Santi_ABASCAL es hora de mostrarle a la izquierda que es la derecha y que con España no se juega...Es hora de repartir hostias...la próxima vez hay que darles duro. RT @alonso_dm: La extrema izquierda manda a sus cachorros a reventar un acto de Vox en Murcia. Esos bracitos y esas voces agudas y chirriantes me recuerdan mucho a lo que se vio en la campaña electoral de Trump, tiene la firma Soros.</t>
  </si>
  <si>
    <t>Diego V. M.</t>
  </si>
  <si>
    <t>Qué habilidad la de @Santi_ABASCAL y @vox_es para desenmascarar a los garantes del actual gobierno. Quedan retratados en cada acto, en cada boicot que intentan llevar a cabo.</t>
  </si>
  <si>
    <t>Ciudad de Málaga, las Españas</t>
  </si>
  <si>
    <t>120% malagueño y malaguista. Siervo de Clío. Tronoman de Mª Stma. de la Salud. Socio de @wikimedia_es. Pecador de la pradera #ETERNOEJE #SalvemosLaMundial</t>
  </si>
  <si>
    <t>Más comentados ahora en Cataluña/Catalanismo: ➀ @ramoncotarelo ↑ ➁ @sanchezcastejon ↓↓ ➂ @JORDINADOR ↓ ➃ @gallifantes ↓↓ ➄ @InesArrimadas ↓↓ ➅ @pablocasado_ ↓ ➆ @Santi_ABASCAL ↓ ➇ @Albert_Rivera ↑ ➈ @Esquerra_ERC ↑</t>
  </si>
  <si>
    <t>EL QUE NO VOTE A @Santi_ABASCAL ES UN IRRESPONSABLE!</t>
  </si>
  <si>
    <t>Veo esto y me queda claro... @vox_es y @Santi_ABASCAL obtendrán mi voto. 🇪🇸💪👍 RT @voxnoticias_es: La prensa los llama "antifascistas". Esa manera de inclinar la cerviz ante la dictadura del lenguaje, cuando es evidente que son unos borregos totalitarios de inspiración marxista 🔥🔥 Así nos han recibido las turbas ultraizquierdistas de @Pablo_Iglesias_ en Murcia</t>
  </si>
  <si>
    <t>https://twitter.com/voxnoticias_es/status/1062832326722420736</t>
  </si>
  <si>
    <t>pic.twitter.com/ZGNTIez5D8</t>
  </si>
  <si>
    <t>Ana Milan 🇪🇸</t>
  </si>
  <si>
    <t>Todo el apoyo para @vox_es y @Santi_ABASCAL con mas fuerza que nunca.</t>
  </si>
  <si>
    <t>El señorio se perdio una tarde que lo sacaron a pasear. #Mourinhista</t>
  </si>
  <si>
    <t>ESTO ES DE VERGÜENZA Y CARADURA IMPRESIONANTE...TODOS A VOTAR AL GRAN @Santi_ABASCAL</t>
  </si>
  <si>
    <t>https://www.esdiario.com/872828175/Iglesias-y-Montero-aumentan-su-sueldo-.000-euros-para-pagar-el-chalet.html</t>
  </si>
  <si>
    <t>https://pbs.twimg.com/media/Dr9ktMLXcAEFvan.jpg</t>
  </si>
  <si>
    <t>TODOS A VOTAR @Santi_ABASCAL PARA ERRADICAR ESTOS BÁRBAROS DELINCUENTES PODEMITAS...TODOS EN MASA A VOTAR @vox_es RT @vox_es: 🚨🚨🚨 Ultraizquierdistas intentan impedir nuestro acto en Murcia con @Santi_ABASCAL y Ortega Lara. Insultan e intentan agredir a los asistentes: "¡Facha, pardillo, tu boca en el bordillo!", "Ortega Lara, de vuelta al zulo", "Sin piernas y sin brazos, fascistas a pedazos"...</t>
  </si>
  <si>
    <t>Jesús López</t>
  </si>
  <si>
    <t>A ver, si tener huevos te hace ser hombre, ¿por qué @raquelsastrecom es mujer y tiene los huevos más grandes que yo? Menudo monólogo. Ahora te quiero ver en el Roast de @ComedyCentralES 😂😂😂 a poder ser contra Santi Abascal.</t>
  </si>
  <si>
    <t>Emocionante acto de @vox_es @Vox_Murcia @Santi_ABASCAL en Murcia. Lleno absoluto. Discurso muy claro y necesario. Antes éramos muy pocos, ahora somos muchísimos. Gracias por demostrar que España aún está viva. VOX es un partido de extrema necesidad para España!</t>
  </si>
  <si>
    <t>Soy más de @antonruanova que de Josef Ajram. La única persona que importa que me crea es un juez. Palabras ≠ Hechos</t>
  </si>
  <si>
    <t>http://nosoyfreak.net</t>
  </si>
  <si>
    <t>Estudiante 3 Historia. Portero de fútbol.</t>
  </si>
  <si>
    <t>Escribo desde La Habana. Saludos a todas las personas que sigo y me siguen. Halo España. Halo Panamá. @FJL_EsRadio @Ortega_Smith @Santi_ABASCAL @monasterioR VIVA VOX POR UNA ESPAÑA VIVA Y UNIDA SIN CORRUPCIÓN.</t>
  </si>
  <si>
    <t>Raul Lopez</t>
  </si>
  <si>
    <t>Acabo de escuchar por primera vez la voz de Santi Abascal y vaya bajón. Quiero decir aparentas un macho ibérico español 100% pura raza pelo en pecho mastodonte y me llevas esa voz de princesa 😂😂😂😂😂😂😂😂😂</t>
  </si>
  <si>
    <t>Más comentados ahora en Derecha/Centro Dcha.: ➀ @sanchezcastejon ↓ ➁ @mcyava ↑ ➂ @ldpsincomplejos ↓ ➃ @vox_es ↓ ➄ @SegundoSanz ↓↓ ➅ @ahorapodemos ↓ ➆ @PSOE ↑ ➇ @Santi_ABASCAL ↓ ➈ @Bribon1970 ↓ ➉ @DigitalSevilla ↓</t>
  </si>
  <si>
    <t>UPV</t>
  </si>
  <si>
    <t>Ingeniería agroalimentaria 🍀 Madridista hasta la médula y levantinista. Puede contener trazas de gilipollez</t>
  </si>
  <si>
    <t>Julio F. Artillo 🇪🇸</t>
  </si>
  <si>
    <t>Más influyentes ahora en Derecha/Centro Dcha.: ➀ @mcyava ↑ ➁ @ldpsincomplejos ↓ ➂ @SegundoSanz ↓↓ ➃ @vox_es ↓ ➄ @DigitalSevilla ↓ ➅ @Bribon1970 ↓ ➆ @Santi_ABASCAL ↓ ➇ @isanseba ↓ ➈ @CCivicaCatalana ↓↓</t>
  </si>
  <si>
    <t>Un quijote moderno y patriota que no soporta la mentira ni la injusticia.</t>
  </si>
  <si>
    <t>Maca Puentes</t>
  </si>
  <si>
    <t>Intolerable la actitud de la extrema izquierda hoy durante el acto de @vox_es en Murcia. En una democracia estos hechos no pueden quedar impunes. Mucho ánimo amigo @Santi_ABASCAL RT @vox_es: 🚨🚨🚨 Ultraizquierdistas intentan impedir nuestro acto en Murcia con @Santi_ABASCAL y Ortega Lara. Insultan e intentan agredir a los asistentes: "¡Facha, pardillo, tu boca en el bordillo!", "Ortega Lara, de vuelta al zulo", "Sin piernas y sin brazos, fascistas a pedazos"...</t>
  </si>
  <si>
    <t>Una sevillana en Madrid que reparte su tiempo como Consultora de Asuntos Públicos y Portavoz y Coordinadora General en @dtosalamancapp ¿Hablamos? 🇪🇸</t>
  </si>
  <si>
    <t>https://conmdemaca.blogspot.com/</t>
  </si>
  <si>
    <t>Isabel Díaz Ayuso</t>
  </si>
  <si>
    <t>Lamentable, preocupante, denunciable, inaceptable. No se puede permitir el acoso y las agresiones contra políticos, seguidores y partidos democráticos que actúan bajo su derecho a celebrar un acto. España no puede seguir por este camino. @Santi_ABASCAL RT @vox_es: 🚨🚨🚨 Ultraizquierdistas intentan impedir nuestro acto en Murcia con @Santi_ABASCAL y Ortega Lara. Insultan e intentan agredir a los asistentes: "¡Facha, pardillo, tu boca en el bordillo!", "Ortega Lara, de vuelta al zulo", "Sin piernas y sin brazos, fascistas a pedazos"...</t>
  </si>
  <si>
    <t>https://twitter.com/vox_es/status/1062799090260557824?s=21</t>
  </si>
  <si>
    <t>Ae</t>
  </si>
  <si>
    <t>Santi Abascal furro hijo de puta</t>
  </si>
  <si>
    <t>Chamberí, Madrid, España</t>
  </si>
  <si>
    <t>Escribo Libertad con mayúsculas. Y después, todo lo demás. 🇪🇸</t>
  </si>
  <si>
    <t>Entre Málaga y el pueblo</t>
  </si>
  <si>
    <t>He hecho audiovisuales y ahora estudio interpretación en la ESAD de Málaga. Me gustan las papas asadas y las peliculitas. ig: mellamoae</t>
  </si>
  <si>
    <t>http://ofmoonsbirdsandmonsters94.tumblr.com/</t>
  </si>
  <si>
    <t>Mentir como concepto de partido y engañar a la gente como lo hizo en su tiempo Hitler con políticas cerca del radicalismo eso es @vox_es y @Santi_ABASCAL es un desengañado del @PPopular que quiere seguir chupando del dinero público #VoxMiente #LaUltraderechaMiente</t>
  </si>
  <si>
    <t>policiah50</t>
  </si>
  <si>
    <t>🚨 ÚLTIMA HORA: Cargas policiales en #Murcia . #UPR #Vox @voxnoticias_es @Santi_ABASCAL #PoliciaH50 🎥 Tenéis el vídeo aquí ⤵️</t>
  </si>
  <si>
    <t>Cucosolitario</t>
  </si>
  <si>
    <t>💥"Fuera AUTONOMÍAS y GIBRALTAR ESPAÑOL" 💥así empieza SANTI ABASCAL (VOX)...  vía @YouTube</t>
  </si>
  <si>
    <t>https://www.policiah50.com/cargas-policiales-en-murcia/</t>
  </si>
  <si>
    <t>https://youtu.be/BQdqDcAqPuE</t>
  </si>
  <si>
    <t>Somos el primer periódico digital policial creado y escrito exclusivamente por policías para acercar nuestra profesión a la ciudadanía. http://www.policiah50.com</t>
  </si>
  <si>
    <t>http://www.policiah50.com</t>
  </si>
  <si>
    <t>Política y Gobierno Política Gobierno</t>
  </si>
  <si>
    <t>El acto de Vox en Murcia, desbordado por miles de personas que han ignorado valientemente a la turba congregada allí para insultar y amenazar. De nada les sirvió. En el vídeo, @Santi_ABASCAL se dirige a los cientos de personas que no pudieron entrar. RT @vox_es: 🚨🚨🚨 ¡Más de 2.300 personas hoy en Murcia! 🇪🇸 @Santi_ABASCAL se ha dirigido así a todos los que no han podido entrar. La #EspañaViva es imparable 💪🇪🇸</t>
  </si>
  <si>
    <t>Santi Abascal estalla y emite un demoledor vídeo contra Ferreras y la manipulación de laSexta  🇪🇸 VOX</t>
  </si>
  <si>
    <t>https://twitter.com/twitter/statuses/1062823263120879616</t>
  </si>
  <si>
    <t>pic.twitter.com/9Vh1oUhNi7</t>
  </si>
  <si>
    <t>https://okdiario.com/espana/2018/11/13/zasca-abascal-rufian-llamarle-senorito-andaluz-pregunta-casa-patan-3346680/amp</t>
  </si>
  <si>
    <t>¡Mil gracias a todos los asistentes al acto de @vox_es en #Murcia con @Santi_ABASCAL #OrtegaLara y @PascualSH1972. Ahora más que nunca os necesitamos! VOX ha venido para quedarse.</t>
  </si>
  <si>
    <t>https://pbs.twimg.com/media/Dr_9PeXW4AAr72n.jpg</t>
  </si>
  <si>
    <t>Emi#TodosSomosHugo🇪🇸</t>
  </si>
  <si>
    <t>Concertina Turner 🇪🇸</t>
  </si>
  <si>
    <t>Las encuestas del CIS le tienen miedo a @Vox_es y @Santi_ABASCAL</t>
  </si>
  <si>
    <t>Alcobendas-(Madrid).</t>
  </si>
  <si>
    <t>Presidente de @ACSIM3 #JUSTICIAPORHUGO #NomasSecuestrosParentales Ayudame a recuperar a mi hijo. http://vuelveconpapahugo.blogspot.com/?m=1</t>
  </si>
  <si>
    <t>http://vuelveconpapahugo.blogspot.com.es/</t>
  </si>
  <si>
    <t>pic.twitter.com/hoN2nwDtg9</t>
  </si>
  <si>
    <t>ᴇɴ ᴇʟ ᴀᴛʟáɴᴛɪᴄᴏ ᴄᴏɴ @sᴇɴᴀʙʀᴊᴀ</t>
  </si>
  <si>
    <t>ησ нαy мαs ιмρσsιвlєs qυє ησ νєятє, мαs мαl sυєñσs qυє ρєя∂єятє, ησ нαy sιlєη¢ισs qυє ¢αyєη ρσя тι. ησ нαy мαs ιlυsισηєs qυє тєηєятє, мαs яιqυєzαs qυє qυєяєятє</t>
  </si>
  <si>
    <t>Más comentados ahora en Cataluña/Catalanismo: ➀ @ramoncotarelo ↑↑ ➁ @gallifantes ↑↑ ➂ @sanchezcastejon ↓ ➃ @InesArrimadas ↓↓ ➄ @Albert_Rivera ↑ ➅ @pablocasado_ ↑ ➆ @Santi_ABASCAL ↑ ➇ @Esquerra_ERC ↓ ➈ @Candeliano ↑</t>
  </si>
  <si>
    <t>Gracias siempre a nuestra .@policia que ha impedido que los radicales violentos agredieran a personas pacíficas que iban escuchar un mitin de #OrtegaLara .@Santi_ABASCAL #AdelanteVOX 🐎🐎🐎🇪🇸🇪🇸🇪🇸🇪🇸🇪🇸 RT @vox_es: 🚨🚨🚨 Ultraizquierdistas intentan impedir nuestro acto en Murcia con @Santi_ABASCAL y Ortega Lara. Insultan e intentan agredir a los asistentes: "¡Facha, pardillo, tu boca en el bordillo!", "Ortega Lara, de vuelta al zulo", "Sin piernas y sin brazos, fascistas a pedazos"...</t>
  </si>
  <si>
    <t>Más influyentes ahora en Derecha/Centro Dcha.: ➀ @mcyava ↓ ➁ @SegundoSanz ↑ ➂ @ldpsincomplejos ↑ ➃ @vox_es ↑ ➄ @CCivicaCatalana ↓ ➅ @DigitalSevilla ↓ ➆ @Bribon1970 ↓ ➇ @Santi_ABASCAL ↓ ➈ @dlacalle ↓</t>
  </si>
  <si>
    <t>ÁngeleS  Rendó🤗🤔</t>
  </si>
  <si>
    <t>Cuando la sonrisa sea tu única moneda de cambio,volverás a ser un ángel,con alas de libertad. ESPAÑOLA por la gracia de DIOS🇪🇸 y a quién no le guste que l</t>
  </si>
  <si>
    <t>🇪🇸Andaluz Indignado🇪🇸</t>
  </si>
  <si>
    <t>Repite conmigo: Yo votaré a @vox_es y a @Santi_ABASCAL Yo votaré a @vox_es y a @Santi_ABASCAL Yo votaré a @vox_es y a @Santi_ABASCAL Yo votaré a @madrid_vox y @Santi_ABASCAL Yo votaré a @vox_es y a @Santi_ABASCAL Yo votaré a @vox_es y a @Santi_ABASCAL</t>
  </si>
  <si>
    <t>Andaluz y Español. Ciudadano de bien. Hasta los cojones de la invasión a España y de paguiteros.</t>
  </si>
  <si>
    <t>Բ૨αทjђZ 💍</t>
  </si>
  <si>
    <t>El mensaje racista y xenófobo de @Santi_ABASCAL y su secta @vox_es es lo que provoca, aún poco os montan para lo que estáis sembrando #miserables RT @SER_Murcia: Incidentes, violencia y detenciones a las puertas del acto de VOX en Murcia.</t>
  </si>
  <si>
    <t>Orihuela, España</t>
  </si>
  <si>
    <t>El rock y la paella como estilo de vida. Nunca me vereis votar al @PPopular ni disimular mi asco eterno al @realmadrid. Culé a tiempo completo en @ebneuo</t>
  </si>
  <si>
    <t>https://m.facebook.com/ebneuo</t>
  </si>
  <si>
    <t>Sin plataformas televisivas nacionales q le metan hasta en los ojos como a @Pablo_Iglesias_ , sólo las redes sociales con @Santi_ABASCAL @Ortega_Smith y Ortega Lara han despertado a una España q estaba deseando un proyecto como @vox_es para quitarse los complejos...VIVA ESPAÑA!!</t>
  </si>
  <si>
    <t>92:48 y Zasca</t>
  </si>
  <si>
    <t>El mejor tweet que he visto hoy @gabrielrufian @Santi_ABASCAL Apúntate esa Rufi</t>
  </si>
  <si>
    <t>clara gonzalez</t>
  </si>
  <si>
    <t>https://pbs.twimg.com/media/Dr_0G0JWwAABXGe.jpg</t>
  </si>
  <si>
    <t>español</t>
  </si>
  <si>
    <t>Soy Madridista nunca Mourinista ni Casillista ni Raulista ni pollas en vinagre. SOY DEL REAL.MADRID Y DE SU HISTORIA Y ESCUDO</t>
  </si>
  <si>
    <t>Española,católica y de derchas muy orgullosa de serlo</t>
  </si>
  <si>
    <t>AlbertoSnchzdelaPeña</t>
  </si>
  <si>
    <t>Dos entrevistas en la portada digital de @diariolaopinion para leer hoy: 👉 @Asiertrece charla con la escritora Julia Navarro:  👉 @Valero_FV entrevista al presidente de @vox_es, @Santi_ABASCAL:</t>
  </si>
  <si>
    <t>Javier Ygartua Ybarra.</t>
  </si>
  <si>
    <t>. @Santi_ABASCAL ya te dije que en la trinchera no hay más colores que el rojo y el amarillo. Mi condena a los ataques que habéis recibido hoy.</t>
  </si>
  <si>
    <t>https://www.laopiniondemurcia.es/cultura-sociedad/2018/11/14/unica-manera-entendernos-venimos/971823.html
https://www.laopiniondemurcia.es/comunidad/2018/11/14/santiago-abascal-murcia-gran-pagana/971825.html</t>
  </si>
  <si>
    <t xml:space="preserve">Getxo. Vizcaya. España. </t>
  </si>
  <si>
    <t>Presidente de @espana_por en memoria de mi abuelo asesinado por ETA.</t>
  </si>
  <si>
    <t>Murcia - Molina de Segura</t>
  </si>
  <si>
    <t>Periodista pelirrojo en @diariolaopinion</t>
  </si>
  <si>
    <t>http://elgaritodeabajo.wordpress.com</t>
  </si>
  <si>
    <t>Marcos Torrecillas</t>
  </si>
  <si>
    <t>“Sin piernas y sin brazos, fascistas a pedazos” claro respeto por @Vox y @Santi_ABASCAL, siempre he dicho que ni podemos es comunismo y que ni mucho menos vox es fascismo, pero claro que estamos en españa y queda guay llamar facha hasta @Albert_Rivera.</t>
  </si>
  <si>
    <t>Granada-Madrid. Derecho y Economía UC3M. Aficionado al toro, a la economía y al deporte.</t>
  </si>
  <si>
    <t>“Facha pardillo, tu boca en el bordillo” y “Ortega Lara de vuelta al zulo”. Así intenta la ultra izquierda reventar el acto de @Santi_ABASCAL y Ortega Lara en Murcia. Ya es dramático que lleven el crimen en la sangre, pero más lo es que ostenten el poder. Ruines y miserables</t>
  </si>
  <si>
    <t>DADDY MOU ®</t>
  </si>
  <si>
    <t>Tenéis mi voto y el de mi familia entera. Que la extrema izquierda rabie y la derecha cobarde os tema, es señal de que estáis haciendo bien las cosas. @Santi_ABASCAL</t>
  </si>
  <si>
    <t>Madridista y Mourinhista. Hala Madrid y nada más!. 'Lo que piensen de mi, no es asunto mío' (Wayne Dyer)</t>
  </si>
  <si>
    <t>👏👏👏👏👏👏👏 Vamos, que no te laven el coco. @vox_es no es extrema derecha sino extrema justicia, extrema necesidad y se le ataca porque defiende a España y los valores que los niñatos izmierdistas quieren destruir. Tenemos que hacer que @Santi_ABASCAL sea nuestro presidente. RT @eldiariomurcia: 📹 Así ha sido la llegada de @Santi_ABASCAL al acto convocado por @vox_es en el Hotel Nelva de #Murcia.</t>
  </si>
  <si>
    <t>https://twitter.com/eldiariomurcia/status/1062789684991012864</t>
  </si>
  <si>
    <t>pic.twitter.com/eNxczwgI9b</t>
  </si>
  <si>
    <t>VOX San Pedro Del Pinatar</t>
  </si>
  <si>
    <t>Gran día el de hoy en Murcia con @vox_es @Vox_Murcia y @voxpinatar. #OrtegaLara y @Santi_ABASCAL. La #EspañaViva tiene ganas de ser escuchada nadie que nos va a callar.</t>
  </si>
  <si>
    <t>pic.twitter.com/j8S6LTd58t</t>
  </si>
  <si>
    <t>San Pedro del Pinatar, España</t>
  </si>
  <si>
    <t>VOX en San Pedro del Pinatar 🇪🇸</t>
  </si>
  <si>
    <t>mecagoendios</t>
  </si>
  <si>
    <t>La putada es que en esta cuenta no me tienen bloq ni @AmarnaMiller @hazteoir @Santi_ABASCAL @asadafyo @kira_95 @Artizar_DA etc etc etc y es como: dios me tengo que currar esto otra vez??????????</t>
  </si>
  <si>
    <t>frcub</t>
  </si>
  <si>
    <t>Cantarranas</t>
  </si>
  <si>
    <t>Pa cuando me bloquean la cuenta un tiempo y futura para cuando me la suspendan. Aliado radfem. (B) Yónkides</t>
  </si>
  <si>
    <t>Ningún hombre es lo bastante bueno para gobernar a otros sin su consentimiento. (Abraham Lincoln)</t>
  </si>
  <si>
    <t>Alex Campoy Nicolás</t>
  </si>
  <si>
    <t>Señor @Santi_ABASCAL que le puede pedir a @diegoconesa que es súbdito de @Pablo_Iglesias_ y del @PSOE RT @cope_murcia: El presidente de @vox_es, Santiago Abascal, ha pedido la dimisión del delegado de Gobierno, @diegoconesa, por "no haber impedido el acto de hostigamiento de estos matones que asustan a la gente", en referencia a los manifestantes que protestaban por el acto @vox_es en Murcia.</t>
  </si>
  <si>
    <t>https://twitter.com/cope_murcia/status/1062795843902861312</t>
  </si>
  <si>
    <t>Abonado del Real Murcia con la Peña Región Grana. 🇪🇸Vocal de la Junta Municipal del Rincón de Beniscornia.</t>
  </si>
  <si>
    <t>Hoy no sólo vi a un señor q expone en público una serie de ideas q compartimos todos los españoles q queremos a nuestro país,hoy vi a un tío q transmite y q sabe liderar un sentimiento de amor y defensa por España.Hoy @Santi_ABASCAL confirma lo q hace meses tenía claro #VotoAVOX</t>
  </si>
  <si>
    <t>Mr Corefusión</t>
  </si>
  <si>
    <t>Están poniendo «El gran dictador» en la dos y estoy seguro que @pablocasado_ @Albert_Rivera y sobre todo @Santi_ABASCAL la estarán disfrutando y tomando apuntes. Me encanta hacer amigos.</t>
  </si>
  <si>
    <t>Al este del Moncayo</t>
  </si>
  <si>
    <t>Hago fotos, rompo cosas y ya no tengo familia. Vamos lo normal. No me sigas, yo tampoco se donde voy</t>
  </si>
  <si>
    <t>http://Instagram.com/mrcorefusion</t>
  </si>
  <si>
    <t>Recaredo II de España</t>
  </si>
  <si>
    <t>¿Qué piensan ustedes @sorluciacaram @Pablo_Iglesias_ sobre el acoso y las consignas jaleadas contra @vox_es en el acto que @Santi_ABASCAL celebraba hoy en Murcia? ¿Tendré respuesta...?</t>
  </si>
  <si>
    <t>ROBERT RODRIGUEZ</t>
  </si>
  <si>
    <t>Recaredo en paro,hijo de un Leovigildo jubilado,hermano de un Hermenegildo sin beca, marido de una Bada chismosa y padre de Liuva, Suintila y una joven visigoda</t>
  </si>
  <si>
    <t>Pedro Fdz Barbadillo</t>
  </si>
  <si>
    <t>El 'delito de odio' se aplica a todo el mundo, salvo a la izquierda en cualquiera de sus manifestaciones. Es una vía para imponer la censura y acallar disidentes del pensamiento único. @Santi_ABASCAL @hermanntertsch RT @Santi_ABASCAL: El Delegado del Gobierno ha permitido que durante cuatro horas se acosase y amenazase de muerte a los asistentes sin disolver la concentración ilegal. Los escuadristas podemitas han contado con la complicidad de Pedro Sánchez. @hermanntertsch</t>
  </si>
  <si>
    <t>GIRONA - SPAIN</t>
  </si>
  <si>
    <t>NACÍ EL 24 NOV.EN BARBERÁ DEL VALLES,BARCELONA.ME GUSTA VIAJAR,EL DEPORTE,EL CINE Y LA CULTURA.SOY MUY SOCIABLE Y LEAL CON LOS AMIGOS.</t>
  </si>
  <si>
    <t>https://twitter.com/Santi_ABASCAL/status/1062819452734111746
https://twitter.com/hermanntertsch/status/1062793762345238528</t>
  </si>
  <si>
    <t>Si quieres comprar mi libro o leer sus primeras páginas, pincha 👇 https://homolegens.com/?product=eternamente-franco#.Wwshdu6FOM8 Ah, el título es irónico. 😉</t>
  </si>
  <si>
    <t>Esos tontos de podemIUs, sabiendo que @Santi_ABASCAL está llenando todos sus actos, quieren que también llene los telediarios RT @libertaddigital: Ultras de izquierda boicotean el acto de VOX en Murcia: "Os mataremos como en Paracuellos"</t>
  </si>
  <si>
    <t>https://twitter.com/libertaddigital/status/1062817410791571456
http://dlvr.it/QrG5Hz</t>
  </si>
  <si>
    <t>https://www.laverdad.es/murcia/rebelado-dictadura-correccion-20181114011046-ntvo.html</t>
  </si>
  <si>
    <t>Más comentados ahora en Cataluña/Catalanismo: ➀ @ramoncotarelo ↑ ➁ @InesArrimadas ↑↑ ➂ @sanchezcastejon ↑ ➃ @Albert_Rivera ↑↑ ➄ @gallifantes ↑↑↑ ➅ @pablocasado_ ↑↑ ➆ @Santi_ABASCAL ↑↑ ➇ @miqueliceta ↑↑↑ ➉ @Candeliano ↑</t>
  </si>
  <si>
    <t>LAZA🕷RUS</t>
  </si>
  <si>
    <t>Qué estalle, pero que lo haga de verdad para que todos veamos su verdadera cara. Sus intenciones para España es devolverla al siglo XX. Santi Abascal estalla y emite un demoledor vídeo contra Ferreras y la manipulación de laSexta  vía @Periodistadigit</t>
  </si>
  <si>
    <t>Más comentados ahora en Derecha/Centro Dcha.: ➀ @mcyava ↑↑↑↑ ➁ @sanchezcastejon ↑ ➂ @ldpsincomplejos ↑ ➃ @SegundoSanz ↓ ➄ @vox_es ↑↑ ➅ @ahorapodemos ↑ ➆ @PSOE ↑ ➇ @dlacalle ↑ ➈ @Bribon1970 ↑ ➉ @Santi_ABASCAL ↑</t>
  </si>
  <si>
    <t>127.0.0.1 | El Sur |</t>
  </si>
  <si>
    <t>..\\Si estas lo suficientemente quieto lograras oírlo todo | Una idea es como un virus, resistente y altamente contagiosa\\..</t>
  </si>
  <si>
    <t>http://hackdosx.blogspot.com</t>
  </si>
  <si>
    <t>V.A. Marcos</t>
  </si>
  <si>
    <t>Más influyentes ahora en Derecha/Centro Dcha.: ➀ @mcyava ↑↑↑↑ ➁ @ldpsincomplejos ↑ ➂ @SegundoSanz ↓ ➃ @dlacalle ↑ ➄ @Bribon1970 ↑↑ ➅ @DigitalSevilla ↓ ➆ @Santi_ABASCAL ↑ ➇ @vox_es ↑ ➈ @DavidIbanez_13 ↓</t>
  </si>
  <si>
    <t>Leganés</t>
  </si>
  <si>
    <t>Consejería de Educación. DAT SUR. Madrid . Licenciado en Derecho y maestro. El placer más noble es el júbilo de comprender ( Leonardo da Vinci )</t>
  </si>
  <si>
    <t>No sólo llena mítines @vox_es de simpatizantes sino que algunos violentos comunistas podemoides también acuden para publicitar a @Santi_ABASCAL para que también llene los telediarios RT @VOX_Albacete: Ésto nos ha recibido al llegar al acto de @vox_es en Murcia</t>
  </si>
  <si>
    <t>https://twitter.com/VOX_Albacete/status/1062819077536837632</t>
  </si>
  <si>
    <t>pic.twitter.com/74wkSiUJTp</t>
  </si>
  <si>
    <t>Viva Don Pelayo!🇪🇸</t>
  </si>
  <si>
    <t>No se puede pedir al Delegado del Gobierno que castigue a los que debe su puesto. Estamos vendidos hasta que esto cambie. Confiamos en ti @Santi_ABASCAL RT @Santi_ABASCAL: Gracias a los policías que hacen su trabajo, pero reproche al Delegado del Gobierno que debe dimitir por no disolver una concentración ilegal de comunistas impulsada por Podemos y que ha hostigado a los asistentes durante horas entre incitaciones al odio y amenazas de muerte.</t>
  </si>
  <si>
    <t>"Santi Abascal de VOX, viene en caballo como el Caudillo, viene a salvarnos, viene a salvar Andalucía... Viene a salvar España". Lo que viene es a hacernos retroceder 80 años. #ElIntermedio</t>
  </si>
  <si>
    <t>https://twitter.com/Santi_ABASCAL/status/1062770778125619201
https://twitter.com/voxnoticias_es/status/1062759518382231552</t>
  </si>
  <si>
    <t>https://pbs.twimg.com/media/DsEkr2IWoAExSwf.jpg</t>
  </si>
  <si>
    <t>Iniciando en resto de mi vida</t>
  </si>
  <si>
    <t>Si la sociedad no funciona, es un deber con tu ayuda intentar transformarla</t>
  </si>
  <si>
    <t>Lucia</t>
  </si>
  <si>
    <t>Recuerdo con tristeza y emoción el día que liberaron a Ortega Lara y también el día que asesinaron a Miguel Ángel Blanco. Cómo se habrá podido llegar a este grado tan profundo de degradación cívica y moral? @philidor38 @PatriotaNene @pablocasado_ @Albert_Rivera @Santi_ABASCAL RT @PatriotaNene: Podemitas gritan "Ortega Lara, de vuelta al zulo" y amenazan de muerte a los asistentes al acto de VOX en Murcia</t>
  </si>
  <si>
    <t>https://twitter.com/patriotanene/status/1062794799399477248
https://casoaislado.com/podemitas-muestran-odio-murcia-intentan-agredir-simpatizantes-vox-gritan-ortega-lara-vuelta-al-zulo/</t>
  </si>
  <si>
    <t>Con lo que está pasando y, teniendo en cuenta lo que ha dicho la ministra Delgado, me parece que soy de extrema, extrema, extrema, súper extrema derecha😊</t>
  </si>
  <si>
    <t>El Intermedio</t>
  </si>
  <si>
    <t>🔴 @DaniMateoAgain analiza al hombre que "está dispuesto a desterrar a Susana Díaz de las próximas elecciones e iniciar la reconquista Andalucía, Santi Abascal"  #elintermedio</t>
  </si>
  <si>
    <t>Signo inequívoco de que #vox lo está haciendo bien. @Santi_ABASCAL RT @rubnpulido: España, año 2018. Violencia, insultos y amenazas en la puerta de un hotel en el que un partido a favor de la integridad nacional, la regeneración democrática y el respeto hacia los símbolos de nuestro país, celebra un acto totalmente pacifico. Si, 2018, aunque parezca 1936.</t>
  </si>
  <si>
    <t>http://atres.red/l6cvj</t>
  </si>
  <si>
    <t>https://pbs.twimg.com/media/DsEkOqZVsAA9THw.jpg</t>
  </si>
  <si>
    <t>https://twitter.com/rubnpulido/status/1062773364073336839</t>
  </si>
  <si>
    <t>🇪🇸 raroru2004 🇪🇸</t>
  </si>
  <si>
    <t>Este es Santiago Abascal. Hablando sin complejos de todo. @Santi_ABASCAL @Ortega_Smith @vox_es @FranLop00445911 Entrevista Santiago Abascal en TRECE TV en El Cascabel 12.11.2018  vía @YouTube</t>
  </si>
  <si>
    <t>pic.twitter.com/01gUnyy3JL</t>
  </si>
  <si>
    <t>Ya conocen las noticias, ahora les contaremos la verdad... De L-J a las 21:30h, en @laSextaTV. Wyoming @sandrasabates11 Thais Villas @a_lo_gonzo @DaniMateoAgain</t>
  </si>
  <si>
    <t>http://www.lasexta.com/elintermedio</t>
  </si>
  <si>
    <t>Marga Alcaide</t>
  </si>
  <si>
    <t>Vergüenza de periodismo..acabo de ver el vídeo y no se puede manipular más sino más lo hacía...penoso Ferreras y la Sexta. Santi Abascal estalla y emite un demoledor vídeo contra Ferreras y la manipulación de laSexta  vía @Periodistadigit</t>
  </si>
  <si>
    <t>Las dos trampas que le hizo Cristina López Schlichting a @Santi_ABASCAL en la @COPE  vía @ElentirVigo</t>
  </si>
  <si>
    <t>Si alguien busca un cubo para echar su basura procura que no sea tú mente. DalaiLama</t>
  </si>
  <si>
    <t>Por si os interesa averiguar sobre Jusapol; si los seguís apoyando, no contéis con mi voto. @vox_es @Santi_ABASCAL  RT @Denna12_0: Mi opinión sobre Jusapol (1): ⬇️ Asociación Jusapol (CNP💙+GC💚) ↙️ ↘️ Sindicato Jupol Asociación Jucil (CNP💙) (GC💚) 🔺A día de hoy se siguen moviendo como Jusapol🔻</t>
  </si>
  <si>
    <t>https://mobile.twitter.com/Denna12_0/status/1050451122723450880</t>
  </si>
  <si>
    <t>https://pbs.twimg.com/media/Dr_p6qiW4AAr1md.jpg</t>
  </si>
  <si>
    <t>Freya</t>
  </si>
  <si>
    <t>Señores de la oposición: mientras ustedes se enfrentan buscando votos, este engendro de @Pablo_Iglesias_ propone regalar nuestro dinero para comprarlos. No serán ustedes menos responsables si en España sucede lo peor!!! @pablocasado_ @Santi_ABASCAL @Albert_Rivera @BardisaIsmael RT @inigodejuana: Podemos propone una ayuda de 1.200 € por hijo abierta a los inmigrantes ilegales</t>
  </si>
  <si>
    <t>https://twitter.com/inigodejuana/status/1062476699332497408
https://okdiario.com/espana/2018/10/07/podemos-propone-ayuda-1-200-hijo-abierta-inmigrantes-ilegales-3201296#.W-hvZZXsbj7.facebook</t>
  </si>
  <si>
    <t>VOTEMOS VOX🇪🇸</t>
  </si>
  <si>
    <t>"¡Facha, pardillo, tu boca en el bordillo!", "Ortega Lara, de vuelta al zulo", los gritos contra VOX en Murcia ¿Delito de odio?  vía @CorreoDeMadrid @voxnoticias_es @vox_alicante @Juanerpf @Santi_ABASCAL @ldpsincomplejos @pacomarhuenda @guardiacivil</t>
  </si>
  <si>
    <t>Defendemos a España, a la Guardia Civil, Policía Nacional y Fuerzas Armadas. Orgullosos de ser españoles.</t>
  </si>
  <si>
    <t>https://www.elcorreodemadrid.com/nacional/3649201/Facha-pardillo-tu-boca-en-el-bordillo-Ortega-Lara-de-vuelta-al-zulo-los-gritos-contra-VOX-en-Murcia-Delito-de-odio.html</t>
  </si>
  <si>
    <t>Sister 1492 🇪🇸 ن ➕</t>
  </si>
  <si>
    <t>Es gravísimo todo lo que está sucediendo en Murcia. Hoy más que nunca es una obligación moral VOTAR a #VOX y acompañar SIEMPRE a Ortega Lara y a @Santi_ABASCAL allá donde estén. #EspañaViva RT @vox_es: 🚨🚨🚨 Ultraizquierdistas intentan impedir nuestro acto en Murcia con @Santi_ABASCAL y Ortega Lara. Insultan e intentan agredir a los asistentes: "¡Facha, pardillo, tu boca en el bordillo!", "Ortega Lara, de vuelta al zulo", "Sin piernas y sin brazos, fascistas a pedazos"...</t>
  </si>
  <si>
    <t>Alcázar de Toledo</t>
  </si>
  <si>
    <t>Gloria a la Patria que supo seguir sobre el azul del mar el caminar del sol.</t>
  </si>
  <si>
    <t>Qué es eso de no nos dejes!! Aquí todos a dar la cara, no pidamos que nos salven si nosotros nos dejamos perder, hay que decir "estoy contigo, @Santi_ABASCAL , para luchar hombro con hombro" RT @eldiariomurcia: 📹 Así ha sido la llegada de @Santi_ABASCAL al acto convocado por @vox_es en el Hotel Nelva de #Murcia.</t>
  </si>
  <si>
    <t>🚨🚨🚨 ¡Más de 2.300 personas hoy en Murcia! 🇪🇸 @Santi_ABASCAL se ha dirigido así a todos los que no han podido entrar. La #EspañaViva es imparable 💪🇪🇸</t>
  </si>
  <si>
    <t>NAVARRA _TU ABANDONO ME PUEDE MATAR</t>
  </si>
  <si>
    <t>JAVIER</t>
  </si>
  <si>
    <t>Gracias @Santi_ABASCAL,Ortega Lara y los compañeros. #TuAbandonoMePuedeMatar #Sosprisiones RT @tu_matar: Los compañeros con @vox_es @Santi_ABASCAL y #ortegalara #sosprisiones #TuAbandonoMePuedeMatar</t>
  </si>
  <si>
    <t>https://twitter.com/tu_matar/status/1062790502913843200</t>
  </si>
  <si>
    <t>https://pbs.twimg.com/media/Dr_KUpsXcAAUwyx.jpg</t>
  </si>
  <si>
    <t>Ricardo Suárez</t>
  </si>
  <si>
    <t>El zasca de Santiago Abascal a Gabriel Rufián por llamarle "señorito" andaluz: "Pregunta en casa, patán" @Santi_ABASCAL</t>
  </si>
  <si>
    <t>autonomo de largo recorrido también castigado por el gobierno saqueador de turno</t>
  </si>
  <si>
    <t>Pascualbobo, España</t>
  </si>
  <si>
    <t>YO SOY YO Y MI CIRCUNSTANCIAS</t>
  </si>
  <si>
    <t>Chorra 🎗</t>
  </si>
  <si>
    <t>Santi abascal ya ha avisado de la quema masiva de iglesias que recorre España RT @_infoLibre: Los obispos denuncian una "inquisición laica" contra la #Iglesia en España por los casos de #abusos sexuales</t>
  </si>
  <si>
    <t>https://twitter.com/_infoLibre/status/1062804959228583936
http://ow.ly/YC1I30mCrjS</t>
  </si>
  <si>
    <t>Sevilla, España (Spain)</t>
  </si>
  <si>
    <t>https://pbs.twimg.com/media/Dr_XekOWwAAWPpq.jpg</t>
  </si>
  <si>
    <t>Pintor y escultor. Sevilla 1969.</t>
  </si>
  <si>
    <t>http://www.ricardosuarez.es</t>
  </si>
  <si>
    <t>VOX Valencia</t>
  </si>
  <si>
    <t>Reunión de @Santi_ABASCAL y José Antonio Ortega Lara con los representantes de los funcionarios de prisiones, para escuchar sus problemas y preocupaciones #TuabandonoMePuedeMatar #sosprisiones</t>
  </si>
  <si>
    <t>Artista polifacético</t>
  </si>
  <si>
    <t>Avd.Navarro Reverter 6-5C</t>
  </si>
  <si>
    <t>Cuenta oficial de @vox_es en la Provincia de Valencia 📧 info@valencia.voxespana.es ☎ 961 061 254 / 652 672 592 🏠 Avd. Navarro Reverter, 6-5°C</t>
  </si>
  <si>
    <t>http://www.voxespana.es/valencia</t>
  </si>
  <si>
    <t>Raimundo Mateos</t>
  </si>
  <si>
    <t>Amo y respeto a mi mujer y a mi hija. A veces trabajo horas extra. Alguna vez hago cosas por los demás. Soy un español medio. Esta tarde he ido a un mitin de @Santi_ABASCAL y es la primera vez que me llaman “nazi, asesino, te vamos a despedazar”. La realidad supera cualquier cosa</t>
  </si>
  <si>
    <t>Católico (Santa Eulalia), cabeza de familia de los Matpar, enamorado de la mujer legendaria.</t>
  </si>
  <si>
    <t>puchito de pozol</t>
  </si>
  <si>
    <t>Que vergüenza y que enorme tristeza. Por descontado que yo también estoy con las personas que han sufrido la agresión, las amenazas y los insultos @desamparadosb @PedroOtamendi @pablocasado_ @Albert_Rivera @Santi_ABASCAL RT @PedroOtamendi: Gritos de "Ortega Lara, de vuelta al zulo" en el escrache en Murcia a VOX. Hay que ser un malnacido para soltar algo así, por mucho que no comulgues con las ideas políticas de alguien. ¡Lo tengo clarísimo, yo estoy con los de adentro!</t>
  </si>
  <si>
    <t>https://twitter.com/pedrootamendi/status/1062774373705224193</t>
  </si>
  <si>
    <t>pic.twitter.com/y9ngXhbjRy</t>
  </si>
  <si>
    <t>Lo que yo digo !! Ortega Lara de vuelta al zulo !!! Como se puede tener los escrúpulos para soltar esa porqueria por la boca. Panda de salvajes. #murcia esta con @vox_es grandes @Santi_ABASCAL y el Sr Ortega Lara y @Ortega_Smith</t>
  </si>
  <si>
    <t>Juan de Haro</t>
  </si>
  <si>
    <t>Son los de @vox_es de @Santi_ABASCAL los que dicen que la verdad la silencia el sistema. Tiene toda la razón. Los que forman parte del sistema me silencian bloqueandome por la cara cuando les digo que forman parte de él apoyando obsesivamente al estado de Israel.👌👏👏👏</t>
  </si>
  <si>
    <t>https://pbs.twimg.com/media/Dr_jUMYW4AAM9iS.jpg</t>
  </si>
  <si>
    <t xml:space="preserve">El Vendrell, Dénia, España </t>
  </si>
  <si>
    <t>Coordinador Nacional de DNJ | AntiSionista | Nacionalista Español | Católico ✝ | Bético.</t>
  </si>
  <si>
    <t>http://dnj.democracianacional.org</t>
  </si>
  <si>
    <t>AySeñorQueNosComenLosMonguers</t>
  </si>
  <si>
    <t>Santi Abascal es el que escribe los tuits de : en Diciembre follare 80 veces.</t>
  </si>
  <si>
    <t>Van con una bandera comunista pero nadie dice nada. En el acto de @vox_es sacan una bandera de España y ahí son todos una panda de fascistas. Por esta doble vara de medir, que no se extrañe nadie de ver pronto a @Santi_ABASCAL en el Congreso. Basta ya!</t>
  </si>
  <si>
    <t>Intento de humorista fallido reconvertido en payaso de baja autoestima y gran corazón,no me muero de la pereza que me da.</t>
  </si>
  <si>
    <t>Más comentados hoy en Derecha/Centro Dcha.: ➀ @sanchezcastejon ↓ ➁ @ldpsincomplejos ↓ ➂ @Santi_ABASCAL ↓ ➃ @pablocasado_ ↓ ➄ @PPopular ↓↓ ➅ @libertaddigital ↑↑ ➆ @PSOE ↑ ➇ @DigitalSevilla ↑↑ ➈ @ahorapodemos ↓</t>
  </si>
  <si>
    <t>Vitola</t>
  </si>
  <si>
    <t>https://pbs.twimg.com/media/Dr_iOdbWsAAxYuG.jpg</t>
  </si>
  <si>
    <t>Alfredo P.C. 🇪🇸</t>
  </si>
  <si>
    <t>Manipulación grosera contra @vox_es y @Santi_ABASCAL en el diario @laverdad. Debería darle vergüenza @aaguirredc</t>
  </si>
  <si>
    <t>https://pbs.twimg.com/media/Dr_iCsiWsAAPCwU.jpg</t>
  </si>
  <si>
    <t>Murcia &amp; Bullas, Spain</t>
  </si>
  <si>
    <t>Médico rural. Me interesa:🎬 cine, 📖 libros, 🎼 folk,prog rock, 🏔️ montaña, 🌧️ meteo, 🙏⛪ católico, 👨‍👩‍👧‍👦 👶 familia, ⚽ Real Murcia, ✌️🗣️ Vox España</t>
  </si>
  <si>
    <t>Más influyentes hoy en Derecha/Centro Dcha.: ➀ @ldpsincomplejos ↓ ➁ @Santi_ABASCAL ↓ ➂ @pablocasado_ ↓ ➃ @libertaddigital ↑↑ ➄ @DigitalSevilla ↑↑ ➅ @rosadiezglez ↑ ➆ @Miotroyo2parte ↑ ➇ @Gallato7 ↑↑↑ ➈ @pedroccastillo ↑</t>
  </si>
  <si>
    <t>https://pbs.twimg.com/media/Dr_h_R4XQAAPPLV.jpg</t>
  </si>
  <si>
    <t>A vosotr@s no os pasa , que cuando leéis a Santi Abascal hablando de la " Ultraizquierda " , parece que está anunciando un detergente ???</t>
  </si>
  <si>
    <t>"El problema de la inmigración" por Javier Ortega Smith en El Gato al Agua 13 noviembre 18 @vox_es @Santi_ABASCAL @Ortega_Smith @DolcaCatalunya @RSInews @hisomatemps @hisomatemps @policia @lasvocesdelpue @CCivicaCatalana  vía @YouTube</t>
  </si>
  <si>
    <t>https://youtu.be/_Frm-J9iLJQ</t>
  </si>
  <si>
    <t>Más influyentes ahora en Derecha/Centro Dcha.: ➀ @ldpsincomplejos ↓ ➁ @DigitalSevilla ↑ ➂ @DavidIbanez_13 ↑ ➃ @durolandia ↑ ➄ @JOSEMANUELSOTO1 ↑ ➅ @dlacalle ↑ ➆ @CiudadanosCs ↓ ➇ @joosearodriguez ↑ ➈ @Santi_ABASCAL ↓</t>
  </si>
  <si>
    <t>La memoria HISTÉRICA ❤🇪🇸👊</t>
  </si>
  <si>
    <t>España una grande y libre. No Islam. La lengua española para todo el país. Autonomías al carajo de una vez. Votaré a VOX. Lo demás me asquea.</t>
  </si>
  <si>
    <t>Elena Valdés🇪🇸</t>
  </si>
  <si>
    <t>Supongo que entrar protegidos por los antidisturbios a un mitin es lo que los podemitas llaman libertad. Encantada de haber escuchado a @Santi_ABASCAL y a @vox_es en Murcia #mivotoesparavox</t>
  </si>
  <si>
    <t>Murcia,España</t>
  </si>
  <si>
    <t>Perfectamente imperfecta. A veces soy aún más borde de lo que parezco</t>
  </si>
  <si>
    <t>Seguro que el coletas, el de la silla, la @elisabeni el ferreras y toda la chusma progre, dicen que es culpa de @vox_es por provocar jejeje. España está despertando. Se le acabó el chollo a los comunistas bolivarianos chavistas @Santi_ABASCAL RT @PoliciasSpain: Colectivos #feministas y #LGTBI escrachean un acto de @vox_es en Murcia, entre gritos de "fascistas". Tensión, cargas y detenciones en las puertas del edificio donde se reúnen los asistentes al acto.</t>
  </si>
  <si>
    <t>https://twitter.com/PoliciasSpain/status/1062780887023128576</t>
  </si>
  <si>
    <t>pic.twitter.com/spH3Y8whOx</t>
  </si>
  <si>
    <t>Para cuando una ley de vagos, gandules, agitadores y maleantes... ahhh!! que son mandados desde el poder de la izquierda. Bueno, para cuando una ley de vagos, gandules, agitadores y maleantes @Santi_ABASCAL @vox_es @voxnoticias_es RT @CasoAislado_Es: "Sin piernas y sin brazos, fascistas a pedazos", así están recibiendo los podemitas y las feministas a los asistentes al acto de @vox_es. La Policía Nacional está evitando que agredan a los que acceden al hotel en el que se realiza el acto. También han insultado a @Santi_ABASCAL</t>
  </si>
  <si>
    <t>Un Selenita en Marte</t>
  </si>
  <si>
    <t>Santi Abascal tras el recibimiento en Murcia: Es la guerra Traed madera!  vía @YouTube</t>
  </si>
  <si>
    <t>https://youtu.be/tFlUHGm5tsk</t>
  </si>
  <si>
    <t>El comunismo ha vuelto, y cada vez lo disimula menos aunque quiera ponerse careta de demócrata. Hoy ha intentado impedir un acto de Vox, un partido democrático, en Murcia. También ha insultado e intentado agredir a los asistentes. Mucho ánimo a todos. @Santi_ABASCAL @Vox_Murcia RT @vox_es: 🚨🚨🚨 Ultraizquierdistas intentan impedir nuestro acto en Murcia con @Santi_ABASCAL y Ortega Lara. Insultan e intentan agredir a los asistentes: "¡Facha, pardillo, tu boca en el bordillo!", "Ortega Lara, de vuelta al zulo", "Sin piernas y sin brazos, fascistas a pedazos"...</t>
  </si>
  <si>
    <t>Vegetariano estricto a dieta, Anti vegan@s de tiendas y gurús, Obrero en mi propio despacho y enamorado de la libertad</t>
  </si>
  <si>
    <t>Un país donde se dice a Ortega Lara (secuestrado 532 días por terroristas) extrema derecha, y en cambio a Otegi, hombre de paz, tiene un gran problema. @AbeInfanzon @hermanntertsch @PerdigueroSIPEp @alfonso_ussia @Santi_ABASCAL @vox_es @JOSEMANUELSOTO1 @ldpsincomplejos @JosPastr</t>
  </si>
  <si>
    <t>https://pbs.twimg.com/media/Dr_cZPdWoAcxQ6i.jpg</t>
  </si>
  <si>
    <t>Roberto Artero</t>
  </si>
  <si>
    <t>Cuando mis adversarios políticos gritan "Ortega Lara, al zulo otra vez", me doy cuenta de que estoy en el bando correcto. Gracias @vox_es @Ortega_Smith @Santi_ABASCAL</t>
  </si>
  <si>
    <t>Jugador de tenis ZGZ 🇪🇸Æ CañasXEspaña 💚 #ZaragozaDefiendeEspaña</t>
  </si>
  <si>
    <t>EL00LEON</t>
  </si>
  <si>
    <t>Al final va a tener razón @Santi_ABASCAL los actos de @vox_es ponen muy nerviosa a la extrema izquierda y salen encapuchados a la calle con VIOLENCIA. algo está pasando RT @SER_Murcia: Incidentes, violencia y detenciones a las puertas del acto de VOX en Murcia.</t>
  </si>
  <si>
    <t>https://twitter.com/ser_murcia/status/1062766449436094466</t>
  </si>
  <si>
    <t>The Spanish Army 🇪🇸</t>
  </si>
  <si>
    <t>No escucharás a @Santi_ABASCAL hablar de genocidios y exterminios (propios del totalitarismo que le pretende atribuir la izquierda) pero sí escuchas a los autodenominados "el pueblo" gritar consignas contra una víctima del terrorismo. RT @CasoAislado_Es: "Ortega Lara, de vuelta al zulo". Podemitas gritaron consignas proetarras en Murcia durante el acoso que protagonizaron a los asistentes al acto de @vox_es. Hubo amenazas de muerte, insultos e intentos de agresión. La extrema izquierda demuestra ser un peligro para España.</t>
  </si>
  <si>
    <t>https://twitter.com/CasoAislado_Es/status/1062795374279176193</t>
  </si>
  <si>
    <t>pic.twitter.com/VXk95OxgLz</t>
  </si>
  <si>
    <t>⏩ Actualidad nacional e internacional en Telegram. Perfil oficial del canal. Rechacen copias e imitaciones. Únete ⬇️ http://telegram.me/thespanisharmy</t>
  </si>
  <si>
    <t>https://telegram.me/thespanisharmy</t>
  </si>
  <si>
    <t>Que casualidad que no haya salido en las noticias lo que ha sufrido @vox_es en Murcia , si hubiese sido al revés lo tenemos en titulares y luego nos llaman fachas , se os ve el plumero @Santi_ABASCAL</t>
  </si>
  <si>
    <t>¡paraca-chin!</t>
  </si>
  <si>
    <t>Yo pienso que el cancer social es @Santi_ABASCAL por mentir desde antes de fundar su partido toda la vida chupando del dinero público como @susanadiaz #EllosRoban</t>
  </si>
  <si>
    <t>https://www.periodistadigital.com/periodismo/tv/2018/11/15/abascal-estalla-y-emite-un-demoledor-video-contra-ferreras-y-la-manipulacion-de-lasexta.shtml?fbclid=IwAR3x1ChpVkknzASukSJvojgXISef-0kfmkwQnJ5amqApmp-_Fa77Wz2wQBs#.W-3CTOWksQA.twitter</t>
  </si>
  <si>
    <t>A la vejez, viruelas</t>
  </si>
  <si>
    <t>JUANITO HISPANO TOTAL!</t>
  </si>
  <si>
    <t>Mi voto y el de toda mi familia, también son para SANTI ABASCAL! VAMOOOOS ESPAÑAAAAAAA! URGE VOX - URGE VOX - URGE VOX - VAMOOOOS ESPAÑAAAAAAA! URGE VOX - URGE VOX - URGE VOX - VAMOOOOS ESPAÑAAAAAAA! URGE VOX - URGE VOX - URGE VOX - VAMOOOOS ESPAÑAAAAAAA! URGE VOX - URGE VOX... RT @santryss: @Santi_ABASCAL @laSextaTV @sextaNoticias Lo he visto y alucino no se cortan un pelo, mienten, manipulan, engañan con todo descaro. Esta es la progresia buena? Santiago tiene mi voto sin ninguna duda y gracias por su trabajo.</t>
  </si>
  <si>
    <t>https://twitter.com/santryss/status/1063068460643741696</t>
  </si>
  <si>
    <t>A. Corleone</t>
  </si>
  <si>
    <t>Hace un rato el gran @Santi_ABASCAL me ha bloqueado de Instagram por desmontarle un par de mentirijillas y enseñar sus vergüenzas, el caso es que no me ha bloqueado de primeras, ha esperado a ver si me linchaban y desacreditaban sus secuaces pero hasta 4 o 5 horas después...</t>
  </si>
  <si>
    <t>Cataluña, ESPAÑA!</t>
  </si>
  <si>
    <t>Nacido en Barcelona, condado del Reino de Aragón (el de la Bandera cuatribarrada), por eso... SOY ARAGONÉS y por supuesto, ESPAÑOL!</t>
  </si>
  <si>
    <t>http://NINGUNO.com</t>
  </si>
  <si>
    <t>Nunca es suficiente</t>
  </si>
  <si>
    <t>Alberto Castillo</t>
  </si>
  <si>
    <t>A la vista de la repercusión social que ha tenido en #Murcia esta noche el acto de @vox_es @Santi_ABASCAL no me extrañaría nada que tuvieran buenos resultados y “sentaran” en @asambleamurcia algún diputado. Han entrado con mucha fuerza y esos votos eran @PPRMurcia</t>
  </si>
  <si>
    <t>Periodista. Amante de mis raíces. Música clásica y literatura. Director de la Fundación de la Asociación de la Prensa de Murcia. Colaborador Diario La Opinión</t>
  </si>
  <si>
    <t>http://www.cajinesyalbares.com</t>
  </si>
  <si>
    <t>Pablo L.</t>
  </si>
  <si>
    <t>El hotel Nelva lleno escuchando a @Santi_ABASCAL.Impresionante</t>
  </si>
  <si>
    <t>https://pbs.twimg.com/media/Dr_WYIZXcAEJc2W.jpg</t>
  </si>
  <si>
    <t>La verdad nos hará libres.Twitter is not real life.Si vis pacem, para bellum.</t>
  </si>
  <si>
    <t>The Observer</t>
  </si>
  <si>
    <t>Es magnífico @Santi_ABASCAL Cuanto más tiempo le den, más votos conseguirá. No sé que van a hacer los castrochavistas y el #FakeNews para evitarlo.</t>
  </si>
  <si>
    <t>London | Beirut | Zurich | HK | Dubai |</t>
  </si>
  <si>
    <t>Boy Scout | Security clearance | Out of order | Don't trust the telephone, newspapers, radio, Twitter or tomorrow.</t>
  </si>
  <si>
    <t>Delfín Córcoles</t>
  </si>
  <si>
    <t>"Viene el @PSOE a hacer de tonto útil de los separatistas" @Santi_ABASCAL #EspañaViva</t>
  </si>
  <si>
    <t>"Váis a escuchar cosas terribles de nosotros" @Santi_ABASCAL #EspañaViva</t>
  </si>
  <si>
    <t>"Nosotros somos españoles" @Santi_ABASCAL #EspañaViva</t>
  </si>
  <si>
    <t>https://pbs.twimg.com/media/Dr_ShLvX4AERmev.jpg</t>
  </si>
  <si>
    <t>🚨🚨🚨 Ultraizquierdistas intentan impedir nuestro acto en Murcia con @Santi_ABASCAL y Ortega Lara. Insultan e intentan agredir a los asistentes: "¡Facha, pardillo, tu boca en el bordillo!", "Ortega Lara, de vuelta al zulo", "Sin piernas y sin brazos, fascistas a pedazos"...</t>
  </si>
  <si>
    <t>Maldita sea! @Santi_ABASCAL sálvanos de este gobierno de rojos flojeras y golpistas! RT @naciodigital: AMPLIACIÓ Espanya permetrà que els esportistes de Kosovo emprin els seus símbols nacionals, després de l'amenaça del COI (@jeuxolympiques) de deixar-la sense competicions internacionals</t>
  </si>
  <si>
    <t>https://www.diariosur.es/elecciones/andaluzas/santiago-abascal-protagonizara-20181113124117-nt.html</t>
  </si>
  <si>
    <t>José Agustín García🇪🇸</t>
  </si>
  <si>
    <t>https://twitter.com/naciodigital/status/1062775595573088257
https://www.naciodigital.cat/noticia/166809/espanya/obeeix/coi/permetra/esportistes/kosovo/usar/seus/simbols/nacionals</t>
  </si>
  <si>
    <t>Cuenca, España</t>
  </si>
  <si>
    <t>Profesor de Historia en Educación Secundaria. Liberal en lo económico y conservador en lo social. Y profundamente español.</t>
  </si>
  <si>
    <t>Nuestro Presidente @Santi_ABASCAL, hablando de las hordas desquiciadas que nos han recibido al llegar</t>
  </si>
  <si>
    <t>pic.twitter.com/rULOGnP3w0</t>
  </si>
  <si>
    <t>Karls Vall</t>
  </si>
  <si>
    <t>Nature lover. Incurable music, yoga &amp; transcendental meditation nerd. Republican.</t>
  </si>
  <si>
    <t>Más comentados ahora en Derecha/Centro Dcha.: ➀ @sanchezcastejon ↓ ➁ @ldpsincomplejos ↓ ➂ @Santi_ABASCAL ↑ ➃ @DigitalSevilla ↑ ➄ @CiudadanosCs ↓ ➅ @ahorapodemos ↑ ➆ @SegundoSanz ↓ ➇ @PSOE ↓ ➈ @PPopular ↓</t>
  </si>
  <si>
    <t>Más influyentes ahora en Derecha/Centro Dcha.: ➀ @ldpsincomplejos ↓ ➁ @DigitalSevilla ↑ ➂ @Santi_ABASCAL ↑ ➃ @SegundoSanz ↓ ➄ @CiudadanosCs ↓ ➅ @DavidIbanez_13 ↓ ➆ @JOSEMANUELSOTO1 ↓ ➇ @libertaddigital ↑</t>
  </si>
  <si>
    <t>El nuevo nazismo de Cataluña, el nazismo de siempre. @Europarl_ES @sanchezcastejon @Albert_Rivera @pablocasado_ @Santi_ABASCAL @DeleGobCataluna RT @cronicaglobal: 🎥 #Vídeo Así pintaron el domicilio del juez Pablo Llarena los radicales de @Arran_jovent</t>
  </si>
  <si>
    <t>https://twitter.com/cronicaglobal/status/1062651715219013633
https://cronicaglobal.elespanol.com/politica/arran-casa-pablo-llarena-sant-cugat_199498_102.html</t>
  </si>
  <si>
    <t>pic.twitter.com/EMFnhnMtZ3</t>
  </si>
  <si>
    <t>Javier Mena</t>
  </si>
  <si>
    <t>Santi Abascal estalla y emite un demoledor vídeo contra Ferreras y la manipulación de laSexta  Compartido desde Discover</t>
  </si>
  <si>
    <t>Casi, casi llego... un último esfuerzo.</t>
  </si>
  <si>
    <t>Los podemitas y comunistas que han acosado y amenazado de muerte a los simpatizantes de @vox_es en Murcia no han evitado un nuevo éxito del partido de @Santi_ABASCAL. Más de 2.000 personas han llenado el acto.</t>
  </si>
  <si>
    <t>https://pbs.twimg.com/media/Dr_Po4DWsAA5XGk.jpg</t>
  </si>
  <si>
    <t>Roberto</t>
  </si>
  <si>
    <t>Las feminazis boicoteando un acto de @Santi_ABASCAL @vox_es en Murcia. Creo que ayer estaban en la manifestación contra la manada magrebí que violó a una joven... o no... ¿no había subvención o interés político por lo de ayer?</t>
  </si>
  <si>
    <t>https://www.periodistadigital.com/periodismo/tv/2018/11/15/abascal-estalla-y-emite-un-demoledor-video-contra-ferreras-y-la-manipulacion-de-lasexta.shtml#.W-20ucT1zXU.twitter</t>
  </si>
  <si>
    <t>Madrid, España. Mourinho tenía razón.</t>
  </si>
  <si>
    <t>ESTOS SON LOS NUEVOS BÁRBAROS QUE ESTÁN ASOLANDO ESPAÑA Y VAN CONTRA EL NUEVO CAUDILLO @Santi_ABASCAL PORQUE SABEN QUE LOS BARRERÁ DE ESPAÑA CUAL BASURA.... TODOS EN MASA A VOTAR A @vox_es @pedroj_ramirez @AdanEsmit @carlosherreracr @carloscuestaEM</t>
  </si>
  <si>
    <t>https://casoaislado.com/podemitas-muestran-odio-murcia-intentan-agredir-simpatizantes-vox-gritan-ortega-lara-vuelta-al-zulo/</t>
  </si>
  <si>
    <t>¿Esta es tu "democrática" ideología @Pablo_Iglesias_ ?¿la tuya @sanchezcastejon ?...ESTÁIS PODRIDOS DE ODIO HASTA LA MÉDULA Y ESA SERÁ VUESTRA MUERTE!!!! NINGÚN POLÍTICO QUE SE DIGA DEMOCRÁTICO PUEDE CALLAR ANTE SEMEJANTES AMENAZAS QUE DEBERÍAN SER DENUNCIADAS!!! @Santi_ABASCAL RT @CasoAislado_Es: "Sin piernas y sin brazos, fascistas a pedazos", así están recibiendo los podemitas y las feministas a los asistentes al acto de @vox_es. La Policía Nacional está evitando que agredan a los que acceden al hotel en el que se realiza el acto. También han insultado a @Santi_ABASCAL</t>
  </si>
  <si>
    <t>El CIS confirma que VOX tendría un escaño por Almería en las próximas elecciones de Andalucía... Enhorabuena Almeria!!!! Enhorabuena Luz Belinda Rodriguez Fernández, nuestra cabeza de lista. @Santi_ABASCAL @VOXSevilla @Ortega_Smith #Almería #Roquetas #Vox #AndaluciaporEspaña</t>
  </si>
  <si>
    <t>https://pbs.twimg.com/media/Dr_Mf1UX4AEisXV.jpg</t>
  </si>
  <si>
    <t>Matt Aguirre 🇪🇸</t>
  </si>
  <si>
    <t>Por cierto Sr Hernando, cuando quiera citar a Santiago Abascal, su nick es este. Saludos @Santi_ABASCAL RT @Rafa_Hernando: Si como dice @santiabascal hay 14 magrebies q han violado a una joven la solución no puede ser su expulsión porque quedarían impunes. Deben ser detenidos, juzgados, condenados a las penas correspondientes y expulsados cuando las cumplan. Es lo que prevé la ley.</t>
  </si>
  <si>
    <t>https://twitter.com/Rafa_Hernando/status/1062006470898786304</t>
  </si>
  <si>
    <t>LIBERAL CONSERVADOR ESPAÑOL (o lo q es lo mismo en progresí), #UltraFachaFranquistaDeExtremaDerecha #Trump2020 #ElValleNoSeToca</t>
  </si>
  <si>
    <t>💪🏻51.000 "me gusta" lleva nuestra publicación en la que os preguntamos si votarías a una gran coalición de centro derecha ¿algunos deberían tomar nota?  @pablocasado_ @Albert_Rivera @Santi_ABASCAL @xpericay @CompanyBiel @jcamposasensi</t>
  </si>
  <si>
    <t>.@Santi_ABASCAL (@vox_es) impartirá hoy (20 horas) una charla sobre la #EspañaViva en el Hotel Nelva: "#Murcia es una gran pagana del Estado de las Autonomías"</t>
  </si>
  <si>
    <t>https://www.diaribalear.es/votarias-a-una-gran-coalicion-formada-por-pp-ciudadanos-y-vox-para-acabar-con-los-nacionalismos/</t>
  </si>
  <si>
    <t>Tu abandono me puede MATAR</t>
  </si>
  <si>
    <t>Los compañeros con @vox_es @Santi_ABASCAL y #ortegalara #sosprisiones #TuAbandonoMePuedeMatar</t>
  </si>
  <si>
    <t>Frady Irka.</t>
  </si>
  <si>
    <t>Cuenta oficial Movimiento asindical funcionarios de prisiones en busca de una dignificion profesional #tuabandonomepuedematar tuabandonomepuedematar@gmail.com</t>
  </si>
  <si>
    <t>http://www.tuabandonomepuedematar.org</t>
  </si>
  <si>
    <t>Entrevista de hoy de @diariolaopinion a @Santi_ABASCAL</t>
  </si>
  <si>
    <t>#OrtegaLara. El mejor de todos nosotros. En le acto de @Vox_Murcia. Con la #EspañaViva y @Santi_ABASCAL. @voxpinatar</t>
  </si>
  <si>
    <t>https://pbs.twimg.com/media/Dr_J9kNW4AEbZj0.jpg</t>
  </si>
  <si>
    <t>📹 Así ha sido la llegada de @Santi_ABASCAL al acto convocado por @vox_es en el Hotel Nelva de #Murcia.</t>
  </si>
  <si>
    <t>Qué nadie se pierda este hilo por nada!! Es de libro... @ahorapodemos @Pablo_Iglesias_ no vales nada , NADA!! @sanchezcastejon arrastrado ve a ver a Maduro anda,no nos va a sorprender, y cómete unos buenos chuletones GUSA,** @Albert_Rivera @pablocasado_ @CBescansa @Santi_ABASCAL RT @ldpsincomplejos: SOBRE ANTIFRANQUISTAS Y SOBRE ANTIESPAÑOLES 1) Lo he comentado algunas veces. El abuelo de mi mujer combatió en el bando republicano y fue encarcelado y depurado al acabar la guerra. Le prohibieron durante años ejercer su profesión de médico.</t>
  </si>
  <si>
    <t>https://twitter.com/ldpsincomplejos/status/1033757362019033089</t>
  </si>
  <si>
    <t>Guzmanolo</t>
  </si>
  <si>
    <t>Igual suspendo todas, pero pase lo que pase siempre tendré a España de mi lado @Santi_ABASCAL grande santi</t>
  </si>
  <si>
    <t>pic.twitter.com/uGkscpLR8p</t>
  </si>
  <si>
    <t>Utebo, España</t>
  </si>
  <si>
    <t>Me perdí en tu mirada y encontré el respeto</t>
  </si>
  <si>
    <t>Ricardo Batanero Bar</t>
  </si>
  <si>
    <t>Hay q ir a Irlanda, para ver como se homenajea a España, porque aqui hay q ocultarlo #EspañaViva @eslamananadeFJL @Santi_ABASCAL @PoliticAhora</t>
  </si>
  <si>
    <t>pic.twitter.com/wYJybwJPpq</t>
  </si>
  <si>
    <t>Salvo en el tema palestino y en el terreno económico con el liberalismo, coincido en el 80 % del programa político y en el 100 % de las ideas-fuerza de @vox_es. Son dos temas delicados y que pueden no sumar y por el contrario restar. @Santi_ABASCAL debe tomar nota y ser prudente.</t>
  </si>
  <si>
    <t>Lo que está sucediendo en Murcia no sale en los medios de comunicación claro!, aquí los demócratas proges, los defensores de la libertad de expresión, reunión intentan agredir a ciudadanos q asisten a un acto de @vox_es @voxnoticias_es @Santi_ABASCAL @Ortega_Smith RT @rubnpulido: España, año 2018. Violencia, insultos y amenazas en la puerta de un hotel en el que un partido a favor de la integridad nacional, la regeneración democrática y el respeto hacia los símbolos de nuestro país, celebra un acto totalmente pacifico. Si, 2018, aunque parezca 1936.</t>
  </si>
  <si>
    <t>Entrada de @Santi_ABASCAL y #OrtegaLara en Murcia. @Vox_Murcia @voxpinatar @vox_es</t>
  </si>
  <si>
    <t>Charles Bocazas</t>
  </si>
  <si>
    <t>https://pbs.twimg.com/media/Dr_EyxaW4AA65xU.jpg</t>
  </si>
  <si>
    <t>Y es ahora cuando Santi Abascal invade y reconquista a Gibraltar con su caballería.</t>
  </si>
  <si>
    <t>https://www.eldiario.es/internacional/Theresa-May-Reino-Unido-UE_0_836066656.html</t>
  </si>
  <si>
    <t>Tengo un 600 system Porsche. Mi madre es una santa que me concibió sin tener un orgasmo.Deje la carrera de TELECO para dedicarme exclusivamente a Twitter.</t>
  </si>
  <si>
    <t>http://es.favstar.fm/users/CharlesBocazas</t>
  </si>
  <si>
    <t>Mata Dragones 😈</t>
  </si>
  <si>
    <t>No hace falta decir más 😂 @CasoAislado_Es @Alternativa_VOX @MuyLiberal @Santi_ABASCAL @vox_es @voxnoticias_es</t>
  </si>
  <si>
    <t>pic.twitter.com/JlSmRSAwhX</t>
  </si>
  <si>
    <t>La Justicia consisten en darle a cada uno lo que se merece.</t>
  </si>
  <si>
    <t>VOX Provincia Alicante</t>
  </si>
  <si>
    <t>Acto de #VOX en #Murcia con Ortega Lara y @Santi_ABASCAL</t>
  </si>
  <si>
    <t>https://www.pscp.tv/w/brxpZTFvUEVMT3ZEcXhYamR8MVlxS0R5dm9BQlFHVlYJACmXH8j19nVbL8_SI7b7JMjAP6sjoNTyniLipzo4</t>
  </si>
  <si>
    <t>Alicante, España</t>
  </si>
  <si>
    <t>🇪🇸 Cuenta oficial de @vox_es en la provincia de #Alicante 📧 info@alicante.voxespana.es 📱 682844459</t>
  </si>
  <si>
    <t>Más comentados ahora en Derecha/Centro Dcha.: ➀ @ldpsincomplejos ↑ ➁ @sanchezcastejon ↑ ➂ @SegundoSanz ↑ ➃ @CiudadanosCs ↓ ➄ @JOSEMANUELSOTO1 ↑ ➅ @Santi_ABASCAL ↓ ➆ @PSOE ↑ ➇ @DigitalSevilla ↓ ➈ @PPopular ↑</t>
  </si>
  <si>
    <t>ASPS</t>
  </si>
  <si>
    <t>La que se ha liado en #Murcia con @vox_es y @Santi_ABASCAL Los que estaban en la calle son los demócratas Stalinistas de las chekas y del Che Guevara. Me “ha gustado” la incongruencia de sus banderas del orgullo y las camisetas de un asesino de homosexuales; muy colorido todo</t>
  </si>
  <si>
    <t>España, Europa</t>
  </si>
  <si>
    <t>@oscar_puentes_ alcalde de Valladolid y @MainatJM me han bloqueado. Que disgusto</t>
  </si>
  <si>
    <t>Más influyentes ahora en Derecha/Centro Dcha.: ➀ @ldpsincomplejos ↑ ➁ @SegundoSanz ↑ ➂ @JOSEMANUELSOTO1 ↑ ➃ @CiudadanosCs ↓ ➄ @DigitalSevilla ↓ ➅ @Santi_ABASCAL ↓ ➆ @joosearodriguez ↓ ➇ @alonso_dm ↓ ➈ @MariaTabarnia ↓</t>
  </si>
  <si>
    <t>Marc Andreu</t>
  </si>
  <si>
    <t>Hoy @pablocasado_, @Albert_Rivera, @Santi_ABASCAL e @InesArrimadas, dicen que pintar un portal es violencia... ...alguien recuerda si alguna vez llamaron violencia a esto?</t>
  </si>
  <si>
    <t>Orco</t>
  </si>
  <si>
    <t>L'intelligence est l'échelle qui mesure la sophistication de notre stupidité.</t>
  </si>
  <si>
    <t>Ana CatalanaEspañola</t>
  </si>
  <si>
    <t>Estaré este Sábado 17 de Noviembre en la Plaza de la Marina a las 12:00, escuchar @Santi_ABASCAL @Ortega_Smith @FSerranoCastro y @molto_garcia, para hacer Historia!! #AndaluciaPorEspaña</t>
  </si>
  <si>
    <t>https://pbs.twimg.com/media/Dr_CYXEXcAAC6Xg.jpg</t>
  </si>
  <si>
    <t>Vivir la vida, al mal tiempo buen pintalabios, ahora residiendo en Málaga, pasarlo bien con mis amigos y orgullosa de ser Española y votante de VOX🇪🇸</t>
  </si>
  <si>
    <t>VOX Fuengirola 🇪🇸</t>
  </si>
  <si>
    <t>Sábado 17 de Noviembre en la Plaza de la Marina a las 12:00, estarán @Santi_ABASCAL @Ortega_Smith @FSerranoCastro y @molto_garcia, para hacer el inicio oficial de la campaña electoral en Málaga... Te esperamos!!! #AndaluciaPorEspaña</t>
  </si>
  <si>
    <t>https://pbs.twimg.com/media/Dr_BqhOWsAAp0qo.jpg</t>
  </si>
  <si>
    <t>Fuengirola, España</t>
  </si>
  <si>
    <t>Cuenta oficial de #VOX Fuengirola, el único partido de derecha, valiente sin complejos, que no se financia con dinero público. Cambie de siglas pero no de ideas</t>
  </si>
  <si>
    <t>Walter White 🇪🇸</t>
  </si>
  <si>
    <t>Cada vez que oigo hablar a @Santi_ABASCAL más convencido estoy de votar a @vox_es</t>
  </si>
  <si>
    <t>Español. Afiliado (ala dura) de VOX Las Rozas. Me avergüenzo de haber votado al PP corrupto. #LasRozas #Denia #Running #Boxing #Drum</t>
  </si>
  <si>
    <t>👉🏻¿Crees que son reales los resultados del CIS de Tezanos que siempre dan ganador al PSOE?  @Tonicanto1 @xpericay @Albert_Rivera @numer344 @JosPastr @gsampolfer @paatri_guerrero @Santi_ABASCAL @vox_es @voxnoticias_es @MMContesti</t>
  </si>
  <si>
    <t>https://www.diaribalear.es/crees-que-son-reales-los-resultados-del-cis-de-tezanos-que-siempre-dan-ganador-al-psoe/</t>
  </si>
  <si>
    <t>Cro Cop</t>
  </si>
  <si>
    <t>Santi Abascal tratando de dar una imagen imperial a lo personaje de Pérez-Reverte a caballo en los anuncios vs Santi abascal cuando la gente le dice que es un nazi con el trote cochinero y el lloriqueo victimista a lo personaje de Francisco Ibáñez.</t>
  </si>
  <si>
    <t>SON LOS NUEVOS BÁRBAROS 👹👹👹👹👹👹👹👹👹 PODEMITAS QUE EL NUEVO CAUDILLO @Santi_ABASCAL LOS MANDARÁ A VENEZUELA CAGANDO LECHES...TODOS EN MASA A VOTAR @vox_es @pedroj_ramirez @AdanEsmit @carlosherreracr @bieitorubido @carloscuestaEM @eslamananadeFJL</t>
  </si>
  <si>
    <t>https://casoaislado.com/feministas-podemitas-amenazan-muerte-e-insultan-las-personas-acudido-al-acto-vox-murcia/</t>
  </si>
  <si>
    <t>5º Regimiento (Acero).</t>
  </si>
  <si>
    <t>20 minutos y este es el llenazo de @vox_es en Murcia con @Santi_ABASCAL y #OrtegaLara. La #EspañaViva está más viva que nunca en Murcia. @Vox_Murcia @voxpinatar</t>
  </si>
  <si>
    <t>https://pbs.twimg.com/media/Dr-_VHIX0AAv6xU.jpg</t>
  </si>
  <si>
    <t>Javier Perez</t>
  </si>
  <si>
    <t>Hoy en Murcia daba una charla @Santi_ABASCAL. Han intentado boicotearla con amenazas, insultos e intento de impedir la entrada a los asistentes. Niñatos de extrema izquierda al grito de “Aquí estamos antifascistas”. Menos mal que estos son los tolerantes...</t>
  </si>
  <si>
    <t>pic.twitter.com/2g0d4cpK62</t>
  </si>
  <si>
    <t>STOP denuncias falsas LIVG. Feminismo de hoy es feminazismo, puro negocio y vacío de contenido. Inmigración, sí, pero controlada y legal. Critico lo que quiero.</t>
  </si>
  <si>
    <t>Esta vez, la Reconquista empieza en el Sur! El dia 2.12.18 vota a VOX en las andaluzas! @Santi_ABASCAL @JOSEMANUELSOTO1 @monasterioR @demiguel2017 @Ortega_Smith</t>
  </si>
  <si>
    <t>Una vez reivindicado por @Arran_jovent, alguien del @PoderJudicialEs, @fiscal_es, @tsj_cat, @policia, @guardiacivil o @UMCmossos, podría pedir responsabilidades a los responsables de ésta organización, no...? PD: @sanchezcastejon @Albert_Rivera @pablocasado_ @Santi_ABASCAL RT @Arran_jovent: 🎥 VÍDEO | El poble mana, @Arran_jovent obeeix. 8 mesos després, per petició popular i amb una resolució de la instrucció judicial que preveu sentències desmesurades, ho hem tornat a fer: assenyalem al Jutge Llarena com a símbol del #Règimdel78! #EstripemLaBaralla 🃏</t>
  </si>
  <si>
    <t>El C.E.P. de @VOX_Albacete con @Vox_Murcia esperando el comienzo del acto de la #EspañaViva con @Santi_ABASCAL y @OrtegaLara</t>
  </si>
  <si>
    <t>https://pbs.twimg.com/media/Dr-4XZxX0AArje4.jpg</t>
  </si>
  <si>
    <t>Estoy totalmente convencida de que lo que usted afirma no es exagerado y lo sabe @ldpsincomplejos. En la calle la gente afirma "votaré a #VOX". # ESPAÑAVIVA ha despertado gracias a este hombre de principios, lealtad a ESPAÑA, valentía y orgullo español: @Santi_ABASCAL @vox_es🇪🇸 RT @David_Churruca: @ldpsincomplejos @MariaTabarnia Te aseguro que es falso, aunque sabes que no hace falta decírtelo. El CIS es el PSOE. Cada día, y no es exagerado, me encuentro a gente en Sevilla, donde vivo, que me dice orgullosa q votará a Vox. Jamás antes fue así. En Sevilla con 50.000 votos es un escaño..y obtendrá muchos +</t>
  </si>
  <si>
    <t>https://twitter.com/David_Churruca/status/1062764006220484608</t>
  </si>
  <si>
    <t>Más comentados ahora en Derecha/Centro Dcha.: ➀ @ldpsincomplejos ↑ ➁ @sanchezcastejon ↓ ➂ @CiudadanosCs ↑↑ ➃ @DigitalSevilla ↑ ➄ @Santi_ABASCAL ↓ ➅ @SegundoSanz ↓ ➆ @libertaddigital ↑ ➇ @PSOE ↓ ➈ @joosearodriguez ↑↑</t>
  </si>
  <si>
    <t>Más influyentes ahora en Derecha/Centro Dcha.: ➀ @ldpsincomplejos ↑ ➁ @CiudadanosCs ↑↑ ➂ @DigitalSevilla ↑ ➃ @Santi_ABASCAL ➄ @SegundoSanz ↓ ➅ @libertaddigital ↑ ➆ @joosearodriguez ↑↑ ➇ @JOSEMANUELSOTO1 ↑↑</t>
  </si>
  <si>
    <t>Llenando el salón en el acto de @vox_es con @Santi_ABASCAL y #OrtegaLara en Murcia @voxpinatar</t>
  </si>
  <si>
    <t>https://pbs.twimg.com/media/Dr-0zlCXgAISVbV.jpg</t>
  </si>
  <si>
    <t>"Sin piernas y sin brazos, fascistas a pedazos", así están recibiendo los podemitas y las feministas a los asistentes al acto de @vox_es. La Policía Nacional está evitando que agredan a los que acceden al hotel en el que se realiza el acto. También han insultado a @Santi_ABASCAL</t>
  </si>
  <si>
    <t>J.dB.C</t>
  </si>
  <si>
    <t>🔴📣 Así esperan ahora mismo los de la tolerancia a @Santi_ABASCAL y a Ortega Lara en #Murcia. En una hora está previsto que comience el acto de @vox_es allí. #SinMiedoANadaNiANadie 🇪🇸</t>
  </si>
  <si>
    <t>pic.twitter.com/By3qQ7S918</t>
  </si>
  <si>
    <t>Veritas liberabit vos. Sin miedo a nada ni a nadie 🇪🇸</t>
  </si>
  <si>
    <t>Los andaluces exigimos que Santi Abascal recoja las moñigas del caballo y se repliegue a su puta casa.</t>
  </si>
  <si>
    <t>Están intentando boicotearnos el acto de @Santi_ABASCAL , presidente de @vox_es . Pero no os preocupéis, entre todos no llenan ni un aula de estudio ( que es lo que debería estar haciendo más de uno viendo la Edad que tienen casi todos ) Hoy Murcia es de #vox</t>
  </si>
  <si>
    <t>pic.twitter.com/RaZ2EBtBTo</t>
  </si>
  <si>
    <t>Así nos reciben estos seres de paz al llegar al acto de @Santi_ABASCAL en Murcia ". Son 4 👉1, 2, 3, 4 ¡Vaaaaamooooossss, @vox_es ! 💪🏻🇪🇸🇪🇸🇪🇸</t>
  </si>
  <si>
    <t>Francisco Ramón Paredes Jiménez</t>
  </si>
  <si>
    <t>Algo debe estar haciendo @vox_es bien cuando los izquierdistas, anti sistemas, separatistas y demás colectivos del estilo se estén retorciendo con la llegada imparable de VOX. @voxsanfernando @voxcadiz @Ortega_Smith @Santi_ABASCAL</t>
  </si>
  <si>
    <t>Español queriendo ayudar a mejorar España. Hacer España grande otra vez. El silencio es cómplice de la injusticia.</t>
  </si>
  <si>
    <t>Esperando para entrar al acto de @vox_es con @Santi_ABASCAL y #OrtegaLara. @voxpinatar</t>
  </si>
  <si>
    <t>https://pbs.twimg.com/media/Dr-xTXpX4AI3kIN.jpg</t>
  </si>
  <si>
    <t>Ya con @Vox_Murcia esperando para el acto de la #EspañaViva con @Santi_ABASCAL y #OrtegaLara En la puerta del hotel el "Comité de bienvenida" de los esbirros de Venezuela.</t>
  </si>
  <si>
    <t>https://pbs.twimg.com/media/Dr-wwO_XQAEDCXw.jpg</t>
  </si>
  <si>
    <t>Podrá gustar más o menos @vox_es, pero lo que está claro es que no hay otro líder político en España que hable tan claro sobre inmigración como lo hace @Santi_ABASCAL. Eso es así.</t>
  </si>
  <si>
    <t>Víctor fanfatal   🇪🇸</t>
  </si>
  <si>
    <t>Zasca de @Santi_ABASCAL a @gabrielrufian por llamarle «señorito» en el vídeo que «reconquista» Andalucía a caballo</t>
  </si>
  <si>
    <t>https://www.larazon.es/espana/zasca-de-abascal-a-rufian-por-llamarle-senorito-en-el-video-que-reconquista-andalucia-a-caballo-JH20508405</t>
  </si>
  <si>
    <t>London, England</t>
  </si>
  <si>
    <t>Gay libertarian,antisocialist and LGBTory blogger in http://www.redliberal.com/ Love Olvido Gara-Losantos, Trump, Thatcher,Warhol, M Yiannopoulos, Roseanne</t>
  </si>
  <si>
    <t>https://fanfataldotcom.wordpress.com/</t>
  </si>
  <si>
    <t>Tengo un mensaje super urgente para @Santi_ABASCAL, pero al no tener su contacto se lo dejo por aquí:</t>
  </si>
  <si>
    <t>pic.twitter.com/fhLbtbLC3r</t>
  </si>
  <si>
    <t>Más comentados ahora en Derecha/Centro Dcha.: ➀ @ldpsincomplejos ↑ ➁ @sanchezcastejon ↑ ➂ @SegundoSanz ↑ ➃ @Santi_ABASCAL ↑ ➄ @DigitalSevilla ↑ ➅ @PSOE ↑ ➆ @PPopular ↑ ➇ @ahorapodemos ↑ ➈ @MariaTabarnia ↑</t>
  </si>
  <si>
    <t>Más influyentes ahora en Derecha/Centro Dcha.: ➀ @ldpsincomplejos ↑ ➁ @SegundoSanz ↑ ➂ @DigitalSevilla ↑ ➃ @Santi_ABASCAL ↑ ➄ @MariaTabarnia ↑ ➅ @libertaddigital ↑ ➆ @JOSEMANUELSOTO1 ↑ ➇ @joosearodriguez ↑ ➈ @PabloSez ↑</t>
  </si>
  <si>
    <t>EN DIRECTO | Concentración de grupos antifascistas a las puertas del Hotel Nelva de #Murcia en contra del acto convocado por @hazteoir, al que sucederá una charla de @vox_es con @Santi_ABASCAL</t>
  </si>
  <si>
    <t>pic.twitter.com/0iJg217RYX</t>
  </si>
  <si>
    <t>Mari Rodriguez</t>
  </si>
  <si>
    <t>Y probablemente el se sienta la persona indicada para decir cuando hay un estado de excepción. Porque el trío @Albert_Rivera @pablocasado_ y @Santi_ABASCAL están tocados por el dedo divino. Madre mía! que pena de país. RT @Agus_Martinez58: Parece que @Albert_Rivera ya va enseñando la patita ¡Que gran discípulo habría tenido Goebbels!...@CiudadanosCs plantea que bajo el estado de excepción se intervengan redes sociales, se anulen cuentas y se cierren páginas web sin autorización judicial</t>
  </si>
  <si>
    <t>https://twitter.com/Agus_Martinez58/status/1062612523290165248
https://diario6.com/ciudadanos-plantea-que-bajo-el-estado-de-excepcion-se-intervengan-redes-sociales-se-anulen-cuentas-y-se-cierren-paginas-web-sin-autorizacion-judicial/</t>
  </si>
  <si>
    <t>"Primero te ignoran, después se ríen de ti, luego te atacan, entonces ganas" (Gandhi).</t>
  </si>
  <si>
    <t>En breve, estaremos con @PascualSH1972, @Santi_ABASCAL y #OrtegaLara en nuestro particular Vistalegre. #EspañaViva RT @vox_cartagena: 🔴El día 14 de Noviembre, miércoles, tendremos la presencia e intervención de @Santi_ABASCAL, y al mejor de todos nosotros, José Antonio Ortega Lara en el acto de #LaEspañaPorvenir, en el Hotel Nelva de Murcia, a las 20 horas. #VOXÚtil #VOXAvanza #EspañaViva #AbascalEnMurcia 🇪🇸🇪🇸</t>
  </si>
  <si>
    <t>https://twitter.com/vox_cartagena/status/1057021466066280449</t>
  </si>
  <si>
    <t>https://pbs.twimg.com/media/DqtLamFW4AAtfj8.jpg</t>
  </si>
  <si>
    <t>Y luego en TV critican a quien dice que hay que echarlos de España... YO, con @Santi_ABASCAL Y @vox_es RT @Alvisepf: Está imputado junto a otros 13 inmigrantes marroquíes por violar enfermo de sarna a una joven española y apuñalar a su novio. ¿Cuál es su declaración a los medios de comunicación del país que le acoge, alimenta y financia? «Que se joda la Policia, son unos racistas». #UnCubata</t>
  </si>
  <si>
    <t>https://twitter.com/Alvisepf/status/1062416831288360960</t>
  </si>
  <si>
    <t>pic.twitter.com/zOkYAOMZM5</t>
  </si>
  <si>
    <t>Luisesel</t>
  </si>
  <si>
    <t>¡De camino al Vistalegre murciano! VOX demostrando día a día que otra España es posible. VOX dará voz a todos los españoles que están hartos del actual sistema del bienestar de los políticos.  @vox_cartagena @Santi_ABASCAL @Vox_Murcia @vox_es</t>
  </si>
  <si>
    <t>https://www.voxespana.es/100medidas</t>
  </si>
  <si>
    <t>https://pbs.twimg.com/media/Dr-aaxIWwAEmOFT.jpg</t>
  </si>
  <si>
    <t>Apoyo a VOX para salvar a España de todos sus traidores y dañinos políticos actuales. Coordinador de VOX en Cartagena.</t>
  </si>
  <si>
    <t>𝕾𝖊𝖗𝖌𝖎𝖔</t>
  </si>
  <si>
    <t>Hace casi 20 años que tengo derecho a voto, nunca jamás me había ilusionado tanto un partido político como @vox_es. Me da igual las etiquetas que me pongan, necesitamos gente como @Santi_ABASCAL u @Ortega_Smith ya. Espero que no defrauden a los que estamos hartos de fakepolitics.</t>
  </si>
  <si>
    <t>When you die the only kingdom you'll see is two foot wide and six foot deep!</t>
  </si>
  <si>
    <t>SANTI ABASCAL (VOX) repasa los insultos de los escuadristas enviados por PABLO IGLESIAS en Murcia:  via</t>
  </si>
  <si>
    <t>noelia campos</t>
  </si>
  <si>
    <t>Como si tuviera una bola de cristal. Esto es lo que se nos avecina. @vox_es @Santi_ABASCAL @Ortega_Smith @monasterioR al toro por los cuernos! Que ya somos muchos los que os ayudaremos a empujar.</t>
  </si>
  <si>
    <t>https://www.fpcs.es/una-verdadera-amenaza-para-espana/</t>
  </si>
  <si>
    <t>http://youtu.be/5LeDQjo7Cww?a</t>
  </si>
  <si>
    <t>jerez de la frontera</t>
  </si>
  <si>
    <t>madre, currante y emprendedora de nuevos proyectos, siempre en activo</t>
  </si>
  <si>
    <t>“Igualdad para tener los mismos derechos vivas donde vivas.” Eso solamente lo propone @vox_es luchando por tanta desigualdad creada en los 17 mini estaditos que subvencionan vuestras políticas. @Santi_ABASCAL RT @meritxell_batet: El problema de la despoblación es una cuestión de libertad e igualdad, entre otras cosas. Libertad para elegir dónde vives. Igualdad para tener los mismos derechos, vivas dónde vivas. Es un asunto de Estado para el que pedimos la colaboración de todos.</t>
  </si>
  <si>
    <t>https://twitter.com/meritxell_batet/status/1062651338079690752</t>
  </si>
  <si>
    <t>https://pbs.twimg.com/media/Dr9LwVKWoAA6rH3.jpg</t>
  </si>
  <si>
    <t>McEnroe</t>
  </si>
  <si>
    <t>Apoyo y solidaridad por el ataque de las juventudes de la CUP al domicilio del juez Pablo Llarena, llenando de pintura amarilla la puerta del domicilio del magistrado que instruye el caso 1-O @AbeInfanzon @PerdigueroSIPEp @hermanntertsch @alfonso_ussia @Santi_ABASCAL @JosPastr</t>
  </si>
  <si>
    <t>https://pbs.twimg.com/media/Dr-NULWWoAEMeaX.jpg</t>
  </si>
  <si>
    <t>Kansas</t>
  </si>
  <si>
    <t>No me caso para no tener que meterme la camisa por dentro.</t>
  </si>
  <si>
    <t>https://twitter.com/jon_mcenroe/timelines/540009095320076288</t>
  </si>
  <si>
    <t>Más comentados ahora en Derecha/Centro Dcha.: ➀ @ldpsincomplejos ↓ ➁ @Santi_ABASCAL ↑ ➂ @sanchezcastejon ↑ ➃ @DigitalSevilla ↓ ➄ @PSOE ↓ ➅ @pablocasado_ ↓ ➆ @PabloSez ↑ ➇ @libertaddigital ↓ ➈ @joosearodriguez ↓</t>
  </si>
  <si>
    <t>Hoy toca ver a @Santi_ABASCAL y La #EspañaViva,he ido en mi vida a un mitin y con este dos...Al primero me llevaron, era un crío y fue con mis padres en la plaza de toros de Murcia y al @PSOE de González... Hoy ese @PSOE constitucional y pro español no existe. @vox_es es tu turno</t>
  </si>
  <si>
    <t>¡Nos vemos a las 20:00 en el hotel Nelva con @PascualSH1972, Ortega Lara y @Santi_ABASCAL RT @Vox_Murcia: 🔴🔴🔴 El próximo miércoles 14 de noviembre nuestro presidente nacional @Santi_ABASCAL visita Murcia. 📆A las 20:00 en el Hotel Nelva Entrada libre ¡Te esperamos! La #EspanaViva llega a Murcia</t>
  </si>
  <si>
    <t>https://twitter.com/Vox_Murcia/status/1054748065373044737</t>
  </si>
  <si>
    <t>https://pbs.twimg.com/media/DqM3FgbWsAER6HU.jpg</t>
  </si>
  <si>
    <t>I added a video to a @YouTube playlist  SANTI ABASCAL (VOX) repasa los insultos de los escuadristas enviados</t>
  </si>
  <si>
    <t>Más influyentes ahora en Derecha/Centro Dcha.: ➀ @ldpsincomplejos ↓ ➁ @Santi_ABASCAL ↑ ➂ @DigitalSevilla ↓ ➃ @PabloSez ↑ ➄ @libertaddigital ↓ ➅ @JOSEMANUELSOTO1 ↑ ➆ @joosearodriguez ↓ ➇ @ElAguijon_ ↑ ➈ @Gallato7 ↓</t>
  </si>
  <si>
    <t>Enga @Santi_ABASCAL aplicatelo un poco porfa RT @Caribdis777: Los machistas piden concentraciones feministas contra las violaciones de argelinos, magrebíes, etc. También nos acusan de no condenar estas agresiones y de sobredimensionar la situación de "la manada". Abro hilo.</t>
  </si>
  <si>
    <t>https://twitter.com/Caribdis777/status/1062705930314248192</t>
  </si>
  <si>
    <t>Xanaن</t>
  </si>
  <si>
    <t>Un ataque más a la libertad de expresión. Sin ninguna ayuda y siempre poniendo trabas. Aún así seguiremos @LariojaVox @vox_es @Santi_ABASCAL 💪🏻🇪🇸</t>
  </si>
  <si>
    <t>https://pbs.twimg.com/media/Dr-IsDYUwAAB0xM.jpg</t>
  </si>
  <si>
    <t xml:space="preserve"> ESPAÑA</t>
  </si>
  <si>
    <t>🇪🇸🇪🇸 Luchando Contra el Marxismo Cultural para hacer una España Grande otra vez. Autónoma y estudiante de Derecho en UNED. Afiliada a #VOX #EspañaLoPrimero</t>
  </si>
  <si>
    <t>🇪🇸Rock'n'Troll 🌱🐸🍀</t>
  </si>
  <si>
    <t>Hace falta una versión con @Santi_ABASCAL, Ferreras, la Griso y la Schlichting RT @paquin_joe: This is CNN. 🌞</t>
  </si>
  <si>
    <t>https://twitter.com/paquin_joe/status/1062710959188439040
https://twitter.com/Solmemes1/status/1062703154305949696</t>
  </si>
  <si>
    <t>Ubicuo</t>
  </si>
  <si>
    <t>Fascinante Troll del Ciberespacio. #11m #nwo #rock #ciencia #Spain4Trump #MasMazmorras #Supertroll #PDRCHVZ #StopPorcinofobia</t>
  </si>
  <si>
    <t>Alejandro Pérez O'pray</t>
  </si>
  <si>
    <t>Parece que es cierto que el señor @Santi_ABASCAL representa al viejo concepto del Estado-nación que ya no encaja en el mundo y que es el germen de los nuevos nacionalismos retrógrados. Un ejército europeo es una garantía de futuro ante las amenazas que se están desarrollando. RT @Santi_ABASCAL: ¿Nos van a mandar a hacer las guerras que decidan los franceses y alemanes? Nos basta con el Ejército Español. No queremos disolver España en la fantasía totalitaria de los burócratas de Bruselas, Berlín y París.</t>
  </si>
  <si>
    <t>https://twitter.com/Santi_ABASCAL/status/1062691559173513217
https://twitter.com/europapress/status/1062688629007548417</t>
  </si>
  <si>
    <t>Islas Canarias, España</t>
  </si>
  <si>
    <t>Álvaro N.</t>
  </si>
  <si>
    <t>Ciencias Políticas y de la Administración por la UNED. Geopolítica de los recursos Intereses: Asia-Pacífico y Europa.</t>
  </si>
  <si>
    <t>¿Alguien le puede decir a Rafael Hernando que ha citado a otro Santiago Abascal? @Santi_ABASCAL enséñale anda... RT @Rafa_Hernando: Si como dice @santiabascal hay 14 magrebies q han violado a una joven la solución no puede ser su expulsión porque quedarían impunes. Deben ser detenidos, juzgados, condenados a las penas correspondientes y expulsados cuando las cumplan. Es lo que prevé la ley.</t>
  </si>
  <si>
    <t>Gripau gRock🎗😎</t>
  </si>
  <si>
    <t>Yo de Santi Abascal, llevaría al lobo solitario de Terrassa como servicio de orden en los próximos meetings de VOX.</t>
  </si>
  <si>
    <t>He visto cosas que vosotros no creeríais.......</t>
  </si>
  <si>
    <t>Abogado del ReICAZ. Secretario de la @aajzgz Amante del fútbol y fútbol sala. Portero y Capitán del @CDHerrera2</t>
  </si>
  <si>
    <t>No @Santi_ABASCAL. Nos hace falta un ejército español fuerte dentro de una Europa aun más fuerte. Europa hay que defenderla y conseguir alcanzar el lugar que nos corresponde en la misma. No mezcles churras con merinas. Seguridad ante todo. RT @Santi_ABASCAL: ¿Nos van a mandar a hacer las guerras que decidan los franceses y alemanes? Nos basta con el Ejército Español. No queremos disolver España en la fantasía totalitaria de los burócratas de Bruselas, Berlín y París.</t>
  </si>
  <si>
    <t xml:space="preserve">🏡 Durango 📍Košice </t>
  </si>
  <si>
    <t>euskaldun. Proyecto de médico. Me gusta la política. Ateo, antitaurino y felipista. ¡ Viva S.M. El Rey ! ¡Viva España 🇪🇸! ig:wildhadess🏳️‍🌈</t>
  </si>
  <si>
    <t>Entrevista a @Santi_ABASCAL sobre el asunto de la INMIGRACIÓN: 🔴 No a la inmigración ilegal ni a la inadaptada. 🔴 No a las ayudas a los inmigrantes. Primero los españoles. 🔴 No a la sanidad universal. Pero claro, decir las verdades del barquero es de ser FASCISTAS...</t>
  </si>
  <si>
    <t>pic.twitter.com/A4za0l0VpL</t>
  </si>
  <si>
    <t>LOS SOCIOS DEL COLETAS.. TODOS A VOTAR @Santi_ABASCAL</t>
  </si>
  <si>
    <t>https://pbs.twimg.com/media/Dr9-ts0XgAIwWKg.jpg</t>
  </si>
  <si>
    <t>Más comentados ahora en Derecha/Centro Dcha.: ➀ @ldpsincomplejos ↑ ➁ @sanchezcastejon ↑ ➂ @Santi_ABASCAL ↓ ➃ @DigitalSevilla ↓ ➄ @PSOE ↓ ➅ @pablocasado_ ↓ ➆ @jordi_canyas ↑↑ ➇ @libertaddigital ↓ ➈ @PPopular ↓↓</t>
  </si>
  <si>
    <t>Más influyentes ahora en Derecha/Centro Dcha.: ➀ @ldpsincomplejos ↑ ➁ @Santi_ABASCAL ↓ ➂ @DigitalSevilla ↓ ➃ @jordi_canyas ↑↑ ➄ @libertaddigital ↓ ➅ @joosearodriguez ↑↑↑ ➆ @rosadiezglez ↓ ➇ @JOSEMANUELSOTO1 ↑</t>
  </si>
  <si>
    <t>Ahora no hay que confiarse, @Santi_ABASCAL, @Ortega_Smith, @monasterioR, @FSerranoCastro... Para que sean muchos los diputados de #VOX en el Parlamento de Andalucía, TRABAJO, TRABAJO y más TRABAJO hasta el día de las elecciones. #EspañaViva #VOXAvanza #VOXÚtil RT @CasoAislado_Es: Se confirma la presencia de @vox_es en el parlamento andaluz. El CIS de Tezanos le da un escaño a VOX en un nuevo barómetro con mucha cocina de por medio en favor de PSOE.</t>
  </si>
  <si>
    <t>https://twitter.com/casoaislado_es/status/1062688001099288576
https://casoaislado.com/se-confirma-la-presencia-vox-parlamento-andaluz-cis-socialista-le-da-escano/</t>
  </si>
  <si>
    <t>pa la ducha que huelo a @Santi_ABASCAL</t>
  </si>
  <si>
    <t>Escapadas</t>
  </si>
  <si>
    <t>No podemos consentir esta invasión, no podemos mirar a otro lado y quedarnos tan tranquilos cuando son habituales las violaciones y agresiones a NUESTRO HIJOS!!! #EspañaReacciona @Santi_ABASCAL cada día somos más lo que estamos contigo!!! RT @Santi_ABASCAL: Los progres nos van a llevar al desastre por estar promoviendo sistemáticamente la inmigración masiva. Las grandes teles nos estigmatizan por decir esto... y no saben que en realidad están estigmatizando a una abrumadora mayoría de españoles que piensan lo mismo.</t>
  </si>
  <si>
    <t>https://twitter.com/Santi_ABASCAL/status/1062433530674855936
https://twitter.com/rubnpulido/status/1062387650303275008</t>
  </si>
  <si>
    <t>Escapadas para gente sin tiempo</t>
  </si>
  <si>
    <t>𝕽𝖆𝖉𝖎𝖔 𝕻𝖔𝖑𝖑𝖆 𝕱𝖒 ℹ</t>
  </si>
  <si>
    <t>Hola, soy el caballo de @Santi_abascal. Me da mucho asco que se suba encima mío, estoy sufriendo un calvario. Busco el momento de poder cocearlo con ganas. Ya verás cuando se entere que soy indepe.</t>
  </si>
  <si>
    <t>https://pbs.twimg.com/media/Dr94p8WWkAAlSnH.jpg</t>
  </si>
  <si>
    <t>HILO VA: Os vamos a mostrar con 2 vídeos un ejemplo práctico de manipulación de @laSextaTV @sextaNoticias que se ha producido ahora mismo. Aquí el vídeo cortado y manipulado suciamente por La Secta:</t>
  </si>
  <si>
    <t>𝕴𝖓𝖉𝖊𝖕𝖊𝖓𝖉𝖊𝖓𝖈𝖎𝖆 &amp; 𝖍𝖚𝖒𝖔𝖗, 𝕾𝖎 𝖒𝖊 𝖘𝖎𝖌𝖚𝖊𝖘 𝖊𝖘 𝖇𝖆𝖏𝖔 𝖙𝖚 𝖗𝖊𝖘𝖕𝖔𝖓𝖘𝖆𝖇𝖎𝖑𝖎𝖉𝖆𝖉.</t>
  </si>
  <si>
    <t>NO QUIERO SER COMO VENEZUELA.. QUE SE VAYAN A VENEZUELA EL COLETAS Y SU PANDA, CAGANDO LECHES ...PARA ESO.. TODOS A VOTAR @Santi_ABASCAL RT @Jaquesdmolay: @lunadebenidorm Da REPUGNANCIA a los coeeuPPtos, vividores, peperos y demas gente de mal vivir que teninan el Ayuntamiento como un cortijo propio, se termino el chollo y se quitaron 2.000 kilos de la roncha que dejo la Botella</t>
  </si>
  <si>
    <t>https://twitter.com/Jaquesdmolay/status/1062694172040327169</t>
  </si>
  <si>
    <t>https://pbs.twimg.com/media/Dr9vlqTW4AUatLY.jpg</t>
  </si>
  <si>
    <t>J.A Mediano de Tabarnia</t>
  </si>
  <si>
    <t>#lasecta está manipulando en su informativo, diciendo que Santi Abascal amenazó con salir todos a por los antisistema. Han cortado lo que decía a continuación, osea cuando decía que no harían eso ni de broma. Pero siguen manipulando sobre @vox_es . Mucho miedo tienen</t>
  </si>
  <si>
    <t>Burgos, España, Robredo Temiño</t>
  </si>
  <si>
    <t>Nacido en la comunidad autónoma de Cataluña y Tabarnes, ahora vivo en Tierras Del Cid. La que veis mi casa, la hice yo mismo. Lucho contra el Mieloma Múltiple</t>
  </si>
  <si>
    <t>http://Elotrolado.es</t>
  </si>
  <si>
    <t>Gran oportunidad de escuchar en vivo a @Santi_ABASCAL @Ortega_Smith .No podéis perdéroslo @voxsanfernando</t>
  </si>
  <si>
    <t>https://pbs.twimg.com/media/Dr9y1KBXcAAExQc.jpg</t>
  </si>
  <si>
    <t>COLOMBINE Mujeres Periodistas Feministas RMurcia</t>
  </si>
  <si>
    <t>El escasísimo porcentaje de causas incoadas por delito de denuncia falsa es suficientemente elocuente para rebatir a las @vox_es que se alzan en torno a la prevalencia de denuncias falsas en materia de violencia sobre la mujer #DenunciaColombine #NosEstanMatando @Santi_ABASCAL</t>
  </si>
  <si>
    <t>https://pbs.twimg.com/media/Dr9yeqIXcAAJOSA.jpg</t>
  </si>
  <si>
    <t xml:space="preserve">Región  de Murcia </t>
  </si>
  <si>
    <t>Plataforma de Mujeres Periodistas Feministas de la Región de Murcia</t>
  </si>
  <si>
    <t>Más comentados ahora en Derecha/Centro Dcha.: ➀ @Santi_ABASCAL ↓ ➁ @ldpsincomplejos ↓ ➂ @sanchezcastejon ↓ ➃ @DigitalSevilla ↑ ➄ @PPopular ↑↑ ➅ @pablocasado_ ↑ ➆ @PSOE ↑ ➇ @libertaddigital ↓ ➈ @susanadiaz ↓</t>
  </si>
  <si>
    <t>Más influyentes ahora en Derecha/Centro Dcha.: ➀ @Santi_ABASCAL ↓ ➁ @ldpsincomplejos ↓ ➂ @DigitalSevilla ↑ ➃ @libertaddigital ↓ ➄ @pablocasado_ ↑ ➅ @rosadiezglez ↓ ➆ @ElAguijon_ ↓ ➇ @MariaTabarnia ↑↑</t>
  </si>
  <si>
    <t>RIVAS ACTUAL</t>
  </si>
  <si>
    <t>VOX Rivas critica las propuestas del Ayuntamiento en Día Internacional Contra Violencia hacia Mujeres #Rivas @rivasactual @vox_es @Santi_ABASCAL #ViolenciaDeGenero @alertamachismo #ViolenciaContraLaMujer #violenciamaschista #MeToo #Cuéntalo #NiUnaMas</t>
  </si>
  <si>
    <t>http://www.rivasactual.com/archives/35461</t>
  </si>
  <si>
    <t>Rivas Vaciamadrid</t>
  </si>
  <si>
    <t>Revista online sobre Rivas, con toda la información social, cultural, deportiva y política de la zona.</t>
  </si>
  <si>
    <t>http://www.rivasactual.com</t>
  </si>
  <si>
    <t>Salva L. Ros Torres</t>
  </si>
  <si>
    <t>Si ya hasta el propio CIS (más cocinado que nunca en la historia reciente) le da escaños a VOX de @Santi_ABASCAL en Andalucía incluso es señal de que en las generales van a tener una representación parlamentaria "significativa" y no simplemente residual. RT @electo_mania: Encuesta del CIS para Andalucía: Gana el PSOE y triple empate casi perfecto por detrás. @psoe 🍅 37,41% (45 -47 escaños) @PPopular 💧 18,66 % 8 (20-22 ) @AdelanteAND 🥒 19,34% (20) @CiudadanosCs 🍊 18,55 (20-22) @vox_es 3.17% (1) Más información en</t>
  </si>
  <si>
    <t>https://twitter.com/electo_mania/status/1062685082140532736
http://electomania.es</t>
  </si>
  <si>
    <t>Lic. ADE, Máster en Contabilidad by @estudiosCEF, MDFC by @EAE_B_School &amp; Business consultant in @ASEPROSL // Enjoy my life 😜 ..."More Techno, less drama" 😎</t>
  </si>
  <si>
    <t>http://www.salvaros.com</t>
  </si>
  <si>
    <t>📣@LaVanguardia fomentando la violencia política. Esta banalización del mal es la que minimiza y provoca la violencia de la ultraizquierda. Y es la que aprovecharon ayer los psicópatas que atacaron un acto de VOX en Murcia gritando que #OrtegaLara volviese al zulo. @pvallin</t>
  </si>
  <si>
    <t>https://pbs.twimg.com/media/DsC_ZBxX0AADvqZ.jpg</t>
  </si>
  <si>
    <t>ES UNA NUEVA RECONQUISTA A LOS BÁRBAROS PODEMITAS PA MANDARLOS A VENEZUELA CAGANDO LECHES..HOMBRE JOVEN LLENO DE FUERZA NO COMO LA ANCIANA CARCAMAL...CARMENA AGGG QUE ASCOOO DA...TODOS EN MASA A VOTAR AL GRAN @Santi_ABASCAL RT @Jaquesdmolay: @lunadebenidorm Santi Abascal de 42 años dice que la Reconquista empieza en Andalucia, ( 8 siglos) como la enterior</t>
  </si>
  <si>
    <t>https://twitter.com/Jaquesdmolay/status/1062674813767110656</t>
  </si>
  <si>
    <t>pic.twitter.com/i53Fa47cIZ</t>
  </si>
  <si>
    <t>donDiario.com</t>
  </si>
  <si>
    <t>Hostión' de @Santi_ABASCAL a @gabrielrufian por llamarle ‘señorito’ andaluz: “¡Pregunta en casa, patán!”  #Andalucia #VOX #Cataluña</t>
  </si>
  <si>
    <t>https://bit.ly/2zbikyw</t>
  </si>
  <si>
    <t>https://pbs.twimg.com/media/Dr9gB32XQAA8hp2.jpg</t>
  </si>
  <si>
    <t>Twitter oficial del diario digital http://donDiario.com . ➡ Facebook: https://www.facebook.com/donDiario/ Instagram: https://www.instagram.com/dondiario</t>
  </si>
  <si>
    <t>http://www.dondiario.com/</t>
  </si>
  <si>
    <t>(Rive:2018)</t>
  </si>
  <si>
    <t>Cuando quieres reformar una ley a ojo de buen Cubero (Entrevista de de la Verdad de Murcia a @Santi_ABASCAL del 14.11.2018) @MalditoDato @_anapastor_</t>
  </si>
  <si>
    <t>https://pbs.twimg.com/media/Dr9m8gLWwAcr--m.jpg</t>
  </si>
  <si>
    <t>El_TylerDurden</t>
  </si>
  <si>
    <t>Santi Abascal llega a Almería. ♬♩ Bulería, bulería, arre jaca mía ♬♩</t>
  </si>
  <si>
    <t>Si sabes cual es el peso atómico del salchichonio, eres de los míos</t>
  </si>
  <si>
    <t>https://pbs.twimg.com/media/DsC7uBBWkAAnpNe.jpg</t>
  </si>
  <si>
    <t>Más comentados ahora en Derecha/Centro Dcha.: ➀ @Santi_ABASCAL ↑ ➁ @ldpsincomplejos ↓ ➂ @DigitalSevilla ↓ ➃ @sanchezcastejon ↑ ➄ @libertaddigital ↓ ➅ @Miotroyo2parte ↓ ➆ @PPopular ↓ ➇ @pablocasado_ ↓ ➈ @PSOE ↑</t>
  </si>
  <si>
    <t>#ElClubDeLaBirra</t>
  </si>
  <si>
    <t>Perder toda esperanza es ganar la libertad. Y otras mierdas baratas parecidas. Enfermemero de noche, capullo todo el día. Hago tortitas en @ECDLMM</t>
  </si>
  <si>
    <t>https://twitter.com/el_tylerdurden</t>
  </si>
  <si>
    <t>Willshake Yano</t>
  </si>
  <si>
    <t>Más influyente que Santi Abascal va a ser mi nuevo lema familiar. RT @bitMomentum: Más influyentes ahora en Derecha/Centro Dcha.: ➀ @ldpsincomplejos ↓ ➁ @isanseba ↓ ➂ @yolandacmorin ↑ ➃ @dlacalle ↑ ➄ @rosadiezglez ➅ @joosearodriguez ↓ ➆ @aburrido354 ↑ ➇ @Santi_ABASCAL ↓ ➈ @JOSEMANUELSOTO1 ↓</t>
  </si>
  <si>
    <t>Más influyentes ahora en Derecha/Centro Dcha.: ➀ @Santi_ABASCAL ↓ ➁ @ldpsincomplejos ↓ ➂ @DigitalSevilla ↓ ➃ @libertaddigital ↓ ➄ @Miotroyo2parte ↓ ➅ @rosadiezglez ↑ ➆ @jordi_canyas ↓ ➇ @pablocasado_ ↓</t>
  </si>
  <si>
    <t>https://twitter.com/bitMomentum/status/1062903262272217088</t>
  </si>
  <si>
    <t>Shitposting y flood transversal como el que hacía tu abuela.</t>
  </si>
  <si>
    <t>https://goo.gl/VnG2rq</t>
  </si>
  <si>
    <t>Expósito Arez</t>
  </si>
  <si>
    <t>Que opinan en Andalucía @susanadiaz @AndaluciaJunta de lo que hacen los Socialistas valencianos @ximopuig @PSV?? @psoe #PresidenteCumFraude @sanchezcastejon okupa. O son socialistas Sanchistas antes que españoles? @Santi_ABASCAL @vox_es @PPopular @Ortega_Smith @Albert_Rivera</t>
  </si>
  <si>
    <t>https://pbs.twimg.com/media/Dr9e5hJXgAAI9sP.jpg</t>
  </si>
  <si>
    <t>Rafa</t>
  </si>
  <si>
    <t>Se viene tarde de redpilleo del bueno en Murcia @AgustinLaje @Santi_ABASCAL</t>
  </si>
  <si>
    <t>Kat❤</t>
  </si>
  <si>
    <t>RT=Endorsement.</t>
  </si>
  <si>
    <t>Ponedle este vídeo a los alarmistas que, malintencionadamente cacarean que @vox_es y @Santi_ABASCAL son xenófobos y/o racistas. Lo que hacen es decir lo que pensamos TODOS, sin ocultarlo como hacen los de izquierda y los de la derecha acomplejadita. Se acabaron ls complejos!🇪🇸</t>
  </si>
  <si>
    <t>pic.twitter.com/cFkckbr7Uu</t>
  </si>
  <si>
    <t>Ni un paso atrás : lo que es,es.@Santi_ABASCAL @vox_es 🏇🏇🏇🤺🏇🏇 a pie🚶, ó 🏃. 👨‍👩‍👧‍👦👪👨‍👨‍👦👩‍👩‍👧👩‍👩‍👧‍👦👨‍👦👨‍👧👨‍👧‍👦👨‍👧‍👧👩‍👦‍👦👩‍👧‍👦👩‍👧👩‍👦👫👥👩‍🌾👩‍🔧👩‍🏭👩‍🎓👩‍💼👩‍🏫👮🧔🤵🤰👩‍🚒👩‍💻🗣️🤹⛹️🚴🏋️🤸🤼🚣. Sumamos nuestros VALORES los DEFENDEREMOS, nos UNE nuestro país 🇪🇸 a TODOS los ciudadanos LE-GA-LES y DEMÓCRATAS💪✔️💚✖️🇪🇸. RT @Santi_ABASCAL: Ladran, luego cabalgamos. 😉</t>
  </si>
  <si>
    <t>https://twitter.com/Santi_ABASCAL/status/1062641424334839810</t>
  </si>
  <si>
    <t>https://pbs.twimg.com/media/Dr9CuR9WkAE6O9u.jpg</t>
  </si>
  <si>
    <t>Los españoles han salido en defensa de @vox_es y han puesto a parir a Susanna Griso tras criticar a @Santi_ABASCAL por pedir la expulsión de los magrebíes que abusaron sexualmente de una chica en Santa Coloma.</t>
  </si>
  <si>
    <t>https://casoaislado.com/miles-espanoles-ponen-parir-susanna-griso-tras-atacar-vox-acoge-los-magrebies-casa/</t>
  </si>
  <si>
    <t>Agustín Laje y Nicolás Márquez impartirán esta tarde en el hotel Nelva de #Murcia una conferencia titulada 'Marxismo, feminismo y LGTBI', organizada por @hazteoir Y justo a continuación, el presidente nacional de Vox @Santi_ABASCAL hablará de 'España Viva'</t>
  </si>
  <si>
    <t>http://ow.ly/t5m230mC0kN</t>
  </si>
  <si>
    <t>🔴 No te pierdas esta tarde a las 20:00 en Murcia la conferencia “España Viva” con José Antonio Ortega Lara y @Santi_ABASCAL. ¡No puedes faltar! #VOXAvanza</t>
  </si>
  <si>
    <t>https://pbs.twimg.com/media/Dr9W3f9WkAESdOq.jpg</t>
  </si>
  <si>
    <t>Más comentados ahora en Derecha/Centro Dcha.: ➀ @ldpsincomplejos ↓ ➁ @Santi_ABASCAL ↓ ➂ @sanchezcastejon ↓ ➃ @DigitalSevilla ↑ ➄ @pablocasado_ ↑ ➅ @libertaddigital ↓ ➆ @Miotroyo2parte ↑ ➇ @PPopular ↓ ➈ @PSOE ↓</t>
  </si>
  <si>
    <t>Más influyentes ahora en Derecha/Centro Dcha.: ➀ @ldpsincomplejos ↓ ➁ @Santi_ABASCAL ↓ ➂ @DigitalSevilla ↑ ➃ @libertaddigital ↓ ➄ @Miotroyo2parte ↑ ➅ @pablocasado_ ➆ @rosadiezglez ➇ @JOSEMANUELSOTO1 ↓ ➈ @blythe_club ↑</t>
  </si>
  <si>
    <t>El .@PPopular de .@pablocasado_ no ha cambiado EN NADA con respecto al .@PPopular de .@marianorajoy ... Es el momento de .@vox_es 🐎🐎🐎💪🏼💪🏼💪🏼🇪🇸🇪🇸🇪🇸🇪🇸🇪🇸 .@Santi_ABASCAL .@Ortega_Smith .@monasterioR .@ldpsincomplejos .@hermanntertsch .@AsisTimermans .@Miotroyo2parte .@ElAguijon_</t>
  </si>
  <si>
    <t>https://pbs.twimg.com/media/Dr9TOV8WwAATdHT.jpg</t>
  </si>
  <si>
    <t>📻Sintoniza R4G Región de Murcia 🇪🇸Nuestro presidente @Santi_ABASCAL #VOXEspaña a las 12:30 💻Para escuchar click aquí:  #VOXÚtil #VOXAvanza #AbascalenMurcia #EspanaViva #OrtegaLara</t>
  </si>
  <si>
    <t>https://r4gregiondemurcia.blogspot.com/</t>
  </si>
  <si>
    <t>https://pbs.twimg.com/media/Dr9RvsEX0AAmD6C.jpg</t>
  </si>
  <si>
    <t>🗣️A todos nuestros afiliados, simpatizantes. 📻Sintoniza R4G Región de Murcia 🇪🇸Nuestro presidente @PascualSH1972 #VOXMurcia ahora en directo 🇪🇸Nuestro presidente @Santi_ABASCAL #VOXEspaña a las 12:30 💻Para escuchar click aquí:  #VOXÚtil #VOXAvanza</t>
  </si>
  <si>
    <t>🔥 SANTI ABASCAL (VOX) 🔥 CARGA contra los MATONES y ESCUADRISTAS de PABLO IGLESIAS y PODEMOS</t>
  </si>
  <si>
    <t>https://pbs.twimg.com/media/Dr9PIUKWsAA3Jft.jpg</t>
  </si>
  <si>
    <t>Izq de twitter: muy enfadados porque la derecha dice que los nazis ya no existen y que son una excusa de la izquierda Also izq de twitter: look at this memillo de santi abascal corriendo jaja que risa que ridículo jaja son una broma que tontos los nazis xdd</t>
  </si>
  <si>
    <t>https://pbs.twimg.com/media/Dr9MP_NXQAA1Ka1.jpg</t>
  </si>
  <si>
    <t>Dónde están Casado y Rivera, que no defienden a España de la dictadura que están implantando el golpista y el chepa. POR ESO..TODOS A VOTAR @Santi_ABASCAL</t>
  </si>
  <si>
    <t>No se puede esperar nada del Psoe de Ander Gil, que dijo literalmente que "fueron a agitar el odio a Alsasua los que nunca tuvieron que mirar bajo su coche". Y tiene la caradura de decírselo a @Santi_ABASCAL. Tiene bemoles la cosa. RT @Santi_ABASCAL: En VOX denunciamos y condenamos todo tipo de violencia, hasta la que pueda tener un aspecto inofensivo o de montaje. Las preguntas son : 1) ¿Por qué, en cambio, el gobierno no denuncia ni detiene a nadie por las pedradas que recibimos en Alsasua por ejercer nuestros derechos?</t>
  </si>
  <si>
    <t>https://twitter.com/Santi_ABASCAL/status/1060590268435578881</t>
  </si>
  <si>
    <t>Leyes de risa es lo que provocan @Santi_ABASCAL @vox_es @voxnoticias_es La brutal violencia de las bandas latinas contra los vigilantes de Metro  vía @telemadrid</t>
  </si>
  <si>
    <t>http://www.telemadrid.es/programas/buenos-dias-madrid/brutal-violencia-latinas-vigilantes-Metro-2-2067413241--20181114091515.html</t>
  </si>
  <si>
    <t>Ardilla Tabardilla🐿️🏳️‍🌈💪🤜</t>
  </si>
  <si>
    <t>Llegado el clímax en el mitin de VOX, Santi Abascal desaparecía en el escenario arropado por una neblina de feromonas y testosterona.</t>
  </si>
  <si>
    <t>Más comentados ahora en Derecha/Centro Dcha.: ➀ @sanchezcastejon ↓ ➁ @libertaddigital ↓ ➂ @pablocasado_ ↓ ➃ @Santi_ABASCAL ↓ ➄ @ldpsincomplejos ↑ ➅ @ahorapodemos ↑ ➆ @PPopular ↑ ➇ @PSOE ↑ ➈ @GirautaOficial ↓</t>
  </si>
  <si>
    <t>Soy La Ardilla Tabardilla, recorro España saltando de político corrupto en político corrupto. Roja. Me gusta el humor negro así que si no te mola...en fin</t>
  </si>
  <si>
    <t>Más influyentes ahora en Derecha/Centro Dcha.: ➀ @libertaddigital ↓ ➁ @ldpsincomplejos ↑ ➂ @Santi_ABASCAL ↓ ➃ @GirautaOficial ↓ ➄ @DigitalSevilla ↑ ➅ @pablocasado_ ↓ ➆ @JOSEMANUELSOTO1 ↓ ➇ @rosadiezglez ↓</t>
  </si>
  <si>
    <t>Hoy en la @laverdadweb y @diariolaopinion Nuestro presidente @Santi_ABASCAL #VOXÚtil #VOXAvanza #EspañaViva #AbascalEnMurcia #OrtegaLara 🇪🇸</t>
  </si>
  <si>
    <t>https://pbs.twimg.com/media/Dr9Cqd5WkAEtn6K.jpg</t>
  </si>
  <si>
    <t>Hoy jueves otra vez en SEVILLA. La #EspañaViva no se detien. #AndalucíaPorEspaña Con @Ortega_Smith @monasterioR @FSerranoCastro</t>
  </si>
  <si>
    <t>https://pbs.twimg.com/media/DsClpXXWoAAR5sI.jpg</t>
  </si>
  <si>
    <t>daviddrh 🎗</t>
  </si>
  <si>
    <t>Os voy a explicar porqué @vox_es de @Santi_ABASCAL nunca va a llegar a nada: En España ya hay dos partidos de extrema derecha: @PPopular y @CiudadanosCs</t>
  </si>
  <si>
    <t>Catalunya (Europa)</t>
  </si>
  <si>
    <t>Martín L Reloaded 🇯🇪🇪🇸🗽</t>
  </si>
  <si>
    <t>Cristina López Schlichting intenta pillar a @Santi_ABASCAL con preguntas torticeras. Mirad los comentarios. Ahora resulta que la inmigración ilegal es buena. @COPE</t>
  </si>
  <si>
    <t>https://youtu.be/CzPw1AMoHaM</t>
  </si>
  <si>
    <t>Martin Lope</t>
  </si>
  <si>
    <t>Libertad, vida y propiedad. Ahora con extra de helicopterina.</t>
  </si>
  <si>
    <t>Perroflautisme il·lustrat ☭</t>
  </si>
  <si>
    <t>Os imaginais a @Santi_ABASCAL repartiendo ositos de peluche a comunistas, independentistas y feministas?</t>
  </si>
  <si>
    <t>URSS - CCCP</t>
  </si>
  <si>
    <t>Lo se, el Nyancat de la URSS es muy cutre (pero mola mucho). Andapandantista sadisios d'aquests xungos i tal✊</t>
  </si>
  <si>
    <t>DE AQUELLA MANERA</t>
  </si>
  <si>
    <t>Hola Don @Santi_ABASCAL @vox_es Si se redujesen los gastos d Senado, autonomías, se dejase d robar, malversar los caudales públicos, la manutención a ls inmigrantes delincuentes, ls q sólo aportan aportan miedo y revueltas, cree usted que se pueden BAJAR LOS IMPUESTOS sin miedo??</t>
  </si>
  <si>
    <t>.</t>
  </si>
  <si>
    <t>Más comentados ahora en Derecha/Centro Dcha.: ➀ @sanchezcastejon ↓ ➁ @pablocasado_ ↑ ➂ @Santi_ABASCAL ↑ ➃ @JOSEMANUELSOTO1 ↑↑↑ ➄ @libertaddigital ↓ ➅ @GirautaOficial ↑ ➆ @rosadiezglez ↓ ➇ @ahorapodemos ↑ ➉ @PPopular ↓</t>
  </si>
  <si>
    <t>Más influyentes ahora en Derecha/Centro Dcha.: ➀ @JOSEMANUELSOTO1 ↑↑↑ ➁ @libertaddigital ↓ ➂ @pablocasado_ ↑ ➃ @Santi_ABASCAL ↓ ➄ @GirautaOficial ↑ ➅ @rosadiezglez ↓ ➆ @ldpsincomplejos ↑ ➇ @javiernegre10 ↑ ➉ @Gallato7 ↓</t>
  </si>
  <si>
    <t>Día Día</t>
  </si>
  <si>
    <t>Bravo @Santi_ABASCAL !!! 👏🏻👏🏻👏🏻 Zasca de Abascal a Rufián por llamarle «señorito» en el vídeo que «reconquista» Andalucía a caballo</t>
  </si>
  <si>
    <t>Uan</t>
  </si>
  <si>
    <t>Presidente @QuimTorraiPIa Arrastrados: @PSOE @sanchezcastejon @ahorapodemos @Pablo_Iglesias_ Paseantes a Cortes. @PPopular @pablocasado_ @CiudadanosCs @Albert_Rivera La Alternativa a los anteriores @vox_es @Santi_ABASCAL</t>
  </si>
  <si>
    <t>https://pbs.twimg.com/media/Dr84KCNXQAUew4C.jpg</t>
  </si>
  <si>
    <t>Gijon</t>
  </si>
  <si>
    <t>Vox Reocín</t>
  </si>
  <si>
    <t>Entrevista a @Santi_ABASCAL por @crisschlichting  #Cantabria</t>
  </si>
  <si>
    <t>https://www.youtube.com/watch?v=CzPw1AMoHaM</t>
  </si>
  <si>
    <t>Cuenta NO OFICIAL para apoyar a Vox Cantabria. Amigos y simpatizantes, Vox debe gobernar España. Twitter: @Vox_Cantabria</t>
  </si>
  <si>
    <t>https://es-es.facebook.com/Vox.Cantabria/</t>
  </si>
  <si>
    <t>gsüs ℗ ƃǝ</t>
  </si>
  <si>
    <t>Cuando todo parecía que habiamos tocado fondo con la mediocridad de los políticos, llegan @pablocasado_ y @Santi_ABASCAL para confirmarnos que no tenemos límites en estupidez y mediocridad.</t>
  </si>
  <si>
    <t>40° 13′ 00″N 06° 52′ 00″W</t>
  </si>
  <si>
    <t>La vida da muchas vueltas y en la última te mueres 💜</t>
  </si>
  <si>
    <t>⚔GLADIADOR⚔LIBERAL</t>
  </si>
  <si>
    <t>El zasca de @Santi_ABASCAL a @gabrielrufian por llamarle "señorito" andaluz: "Pregunta en casa, patán"</t>
  </si>
  <si>
    <t>Luchando por la dignidad y moral completa. Anticomunista. Católico. Familia. Libertad. España lo primero 🇪🇸.</t>
  </si>
  <si>
    <t>Más comentados ahora en Derecha/Centro Dcha.: ➀ @sanchezcastejon ↑ ➁ @libertaddigital ↑ ➂ @pablocasado_ ↑ ➃ @Santi_ABASCAL ↑ ➄ @PPopular ↑ ➅ @rosadiezglez ↑ ➆ @Gallato7 ↑ ➇ @PSOE ↑ ➈ @ahorapodemos ↑</t>
  </si>
  <si>
    <t>Más influyentes ahora en Derecha/Centro Dcha.: ➀ @libertaddigital ↑ ➁ @Santi_ABASCAL ↑ ➂ @rosadiezglez ↑ ➃ @pablocasado_ ↑ ➄ @Gallato7 ↑ ➅ @Miotroyo2parte ↓ ➆ @GirautaOficial ↑↑ ➇ @ldpsincomplejos ↓ ➈ @Tonicanto1 ↑</t>
  </si>
  <si>
    <t>Vaya, parece que hasta los dirigentes de Ciudadanos se han dado cuenta de que @manuelvalls no tiene ni idea de lo que pasa en España, como ya le dijo @Santi_ABASCAL Retirarán también el cordón sanitario a @vox_es ??</t>
  </si>
  <si>
    <t>https://pbs.twimg.com/media/Dr8obvJX0AAPW-O.jpg</t>
  </si>
  <si>
    <t>Occidente Resurge</t>
  </si>
  <si>
    <t>Oye @Santi_ABASCAL Creo que esto iba para ti eh :) RT @Rafa_Hernando: Si como dice @santiabascal hay 14 magrebies q han violado a una joven la solución no puede ser su expulsión porque quedarían impunes. Deben ser detenidos, juzgados, condenados a las penas correspondientes y expulsados cuando las cumplan. Es lo que prevé la ley.</t>
  </si>
  <si>
    <t>Español, cristiano, blanco y heterosexual!! Una especie a extinguir...</t>
  </si>
  <si>
    <t>Entrevista de hoy de @laverdad_es a @Santi_ABASCAL</t>
  </si>
  <si>
    <t>.@eslamananadeFJL Cristina López ssssschligtin prohíbe a @Santi_ABASCAL decir Dios y extranjeros. Federico Jiménez Losantos le afea hacer un vídeo montando a caballo. Al parecer, para ser guay hay que huir del agro y del lenguaje común.</t>
  </si>
  <si>
    <t>EL TALAVERANO</t>
  </si>
  <si>
    <t>Para El País lo preocupante de que 15 sarnosos abusen de una chica y apuñalen a su novio es que @Santi_ABASCAL lo denuncie. Todo en orden.</t>
  </si>
  <si>
    <t>🦅Karcel-Seta 🇪🇸 🇺🇲 🇨🇵 🇮🇱</t>
  </si>
  <si>
    <t>Bravo Santi Abascal @santiabascal @vox_es 👏👏👏 @gabrielrufian Patético ignorante</t>
  </si>
  <si>
    <t>https://pbs.twimg.com/media/Dr8fiiQXgAAiYA0.jpg</t>
  </si>
  <si>
    <t>Talavera de la Reina, España</t>
  </si>
  <si>
    <t>En el asenso dormito. Si despierto, discordia. 🇪🇸 NO ME PISOTEES.</t>
  </si>
  <si>
    <t>Facha recalcitrante. Cuando la mugre golpista, batasuna o progre comunisto-sociata me llama FACHA, me llena de orgullo</t>
  </si>
  <si>
    <t>Los 20 tuits más RTs de @gabrielrufian @santi_abascal @albert_rivera @ccifuentes @carlesmundo @krls @miriamnoguerasm @joninarritu @pablo_iglesias_ @pablocasado_ @dolorsbassac @jordialapreso @albiol_xg @rosadiezglez @MGutierrezCs el martes 13 de noviembre</t>
  </si>
  <si>
    <t>https://twitter.com/trendinaliaES/timelines/1062588648367960064</t>
  </si>
  <si>
    <t>Oscar</t>
  </si>
  <si>
    <t>Qué grandeza @Santi_ABASCAL RT @Dan_Aeon: Grande Abascal. #MiSímboloMiPaís</t>
  </si>
  <si>
    <t>https://twitter.com/dan_aeon/status/1062453317387849728</t>
  </si>
  <si>
    <t>https://pbs.twimg.com/media/Dr6Xo79WkAAzOv7.jpg</t>
  </si>
  <si>
    <t>Hay una fuerza motriz más poderosa que el vapor, la electricidad y la energía atómica: la voluntad (Albert Einstein).</t>
  </si>
  <si>
    <t>Buenos días @Santi_ABASCAL ¿Nos ayudas a difundir nuestro Manifiesto por una RTVE LIBRE? Profesionales constitucionalistas de RTVE 👇👇👇</t>
  </si>
  <si>
    <t>Viernes</t>
  </si>
  <si>
    <t>Ahora en serio, si tuviérais una empresa ¿de qué contrataríais a Santi Abascal y con qué sueldo?</t>
  </si>
  <si>
    <t>pic.twitter.com/gPmWiA8n13</t>
  </si>
  <si>
    <t>Un día me voy a ir para siempre a Facebook</t>
  </si>
  <si>
    <t>http://www.trecetv.es/video/?videoId=e-37831</t>
  </si>
  <si>
    <t>Más comentados ahora en Derecha/Centro Dcha.: ➀ @libertaddigital ↑↑ ➁ @Santi_ABASCAL ↑↑ ➂ @sanchezcastejon ↑↑ ➃ @pablocasado_ ↑ ➄ @PPopular ↑↑ ➅ @Miotroyo2parte ↑↑ ➆ @rosadiezglez ↑ ➇ @ldpsincomplejos ↑↑ ➈ @Gallato7 ↑</t>
  </si>
  <si>
    <t>Más influyentes ahora en Derecha/Centro Dcha.: ➀ @libertaddigital ↑↑ ➁ @Santi_ABASCAL ↑↑ ➂ @pablocasado_ ↑↑ ➃ @Miotroyo2parte ↑↑ ➄ @rosadiezglez ↑ ➅ @ldpsincomplejos ↑↑ ➆ @Gallato7 ↑ ➇ @Jorge_Vilches ↓ ➈ @joaquimcoll ↓</t>
  </si>
  <si>
    <t>Nos pasan d un medio marroquí  lo corrobora apuntando hacia Béni Ounif como zona desde la q 5.000 subsaharianos se están preparando con el fin de cruzar ilegalmente la frontera d Marruecos para llegar a España @Santi_ABASCAL @pablocasado_ @sanchezcastejon</t>
  </si>
  <si>
    <t>http://ARTICLE19.ma</t>
  </si>
  <si>
    <t>https://pbs.twimg.com/media/Dr8U5ttWkAASeiB.jpg</t>
  </si>
  <si>
    <t>Más comentados ahora en Derecha/Centro Dcha.: ➀ @pablocasado_ ↓ ➁ @libertaddigital ↑↑ ➂ @Santi_ABASCAL ↑ ➃ @rosadiezglez ↓ ➄ @Gallato7 ↓ ➅ @sanchezcastejon ↓ ➆ @Miotroyo2parte ↓ ➇ @ldpsincomplejos ↓ ➈ @ahorapodemos ↓</t>
  </si>
  <si>
    <t>Más influyentes ahora en Derecha/Centro Dcha.: ➀ @libertaddigital ↑↑ ➁ @Santi_ABASCAL ↑ ➂ @Gallato7 ↓ ➃ @rosadiezglez ↓ ➄ @pablocasado_ ↓ ➅ @Miotroyo2parte ↓ ➆ @ldpsincomplejos ↓ ➇ @GirautaOficial ↓ ➈ @Rafa_Hernando ↑↑</t>
  </si>
  <si>
    <t>Juan Antonio Morales 🇪🇸</t>
  </si>
  <si>
    <t>¡¡Así @Santi_ABASCAL así se responde a la gente maleducada…!!. 👏🇪🇸👏🇪🇸</t>
  </si>
  <si>
    <t>Lobon (Badajoz) Spain.</t>
  </si>
  <si>
    <t>Diputado @Asamblea_Ex 🇪🇸 @VOX_es 🇪🇸 Grado en Trabajo Social @infoUex 🇪🇸 Alta Dirección @IISanTelmo 🇪🇸 #ProvinciaBadajoz @VOX_Badajoz @VOX_Caceres</t>
  </si>
  <si>
    <t>http://www.juanantoniomorales.com</t>
  </si>
  <si>
    <t>Más comentados ahora en Derecha/Centro Dcha.: ➀ @Santi_ABASCAL ↑ ➁ @libertaddigital ↓ ➂ @sanchezcastejon ↑ ➃ @pablocasado_ ↑ ➄ @ldpsincomplejos ↑ ➅ @Miotroyo2parte ➆ @rosadiezglez ↓ ➇ @Gallato7 ↑ ➈ @pedroccastillo ↑</t>
  </si>
  <si>
    <t>Más influyentes ahora en Derecha/Centro Dcha.: ➀ @Santi_ABASCAL ↑ ➁ @libertaddigital ↓ ➂ @ldpsincomplejos ↑ ➃ @Miotroyo2parte ➄ @pedroccastillo ↑↑ ➅ @pablocasado_ ↑ ➆ @rosadiezglez ↓ ➇ @Gallato7 ↑ ➈ @ivanedlm ↑</t>
  </si>
  <si>
    <t>TweetBot</t>
  </si>
  <si>
    <t>He visto en TT "Gibraltar" y he pensado que Santi Abascal estaba intentando conquistarlo el solo. A caballo, por supuesto.</t>
  </si>
  <si>
    <t>NO CREO EN NADIE</t>
  </si>
  <si>
    <t>EN VENEZUELA HAY UNA TIRANÍA DR JOSE VICENTE HARO SECUESTRADO Y TORTURADO REG DE NMADURO &gt; QUÉ DIRÁN LOS PSOE PODEMITAS ? ESPAÑOLES DE SU SOCIO MADURO...@Santi_ABASCAL @Alvisepf @Alfonbay RT @annicuter: ¿PORQUE FUE LIBERADO? = EQUIPO DE ABOGADOS HIZO ESTRATEGIA&lt; 3 OBISPOS MON PADRON- PORRAS Y OVIDIO PEREZ MORALES&amp;gt;RECONOCE Y AGRADECE &amp;gt; LE SALVARON LA VIDA POR SUS GESTIONES</t>
  </si>
  <si>
    <t>https://twitter.com/annicuter/status/1062561685825900544
https://twitter.com/annicuter/status/1062560573248942080</t>
  </si>
  <si>
    <t>caracas venezuela</t>
  </si>
  <si>
    <t>HETERODOXO-LIBREPENSADOR</t>
  </si>
  <si>
    <t>Maximo Martin.</t>
  </si>
  <si>
    <t>Otra que periodista que no es capaz de prepararse una entrevista. Frases como he oído que en Internet @Santi_ABASCAL @hermanntertsch @_SantosTrinidad</t>
  </si>
  <si>
    <t xml:space="preserve">Republica Dominicana </t>
  </si>
  <si>
    <t>Centro Integral de Servicios Inmobiliaria-Seguros-Prestamos- Proyectos Arquitectura. Real Estate-Financial Advice-Insurance Telf- (+1 829 766 7002)</t>
  </si>
  <si>
    <t>Libre Pensador</t>
  </si>
  <si>
    <t>Que razón lleva @Santi_ABASCAL cada día me convence más. Espero que las elecciones de mi tierra andaluza del 2D, sean la entrada de @vox_es en el panorama político nacional para poner orden y cordura en nuestra España, ultrajada por la extrema izquierda #AndalucíaPorEspaña RT @Santi_ABASCAL: Lo dicho, vergüenza tras vergüenza. Los españoles a merced de la chapuza y de la inseguridad. Esto es insoportable, tanto como los cafres que llaman xenófobos y racistas a todo el que ose denunciarlo. España entera a merced también de la estigmatización.</t>
  </si>
  <si>
    <t>https://twitter.com/Santi_ABASCAL/status/1062441553346682886
https://twitter.com/A3Noticias/status/1062423482913447937</t>
  </si>
  <si>
    <t>Andalucía, ESPAÑA 🇪🇸</t>
  </si>
  <si>
    <t>Militar en RT y jurista, muy 🇪🇸 y andaluz, tradicional, provida, irónico, madridista, católico crítico y cofrade,...divorciado buscando la felicidad de nuevo</t>
  </si>
  <si>
    <t>Más comentados ahora en Derecha/Centro Dcha.: ➀ @pablocasado_ ↓ ➁ @Santi_ABASCAL ↓ ➂ @rosadiezglez ↑ ➃ @libertaddigital ↑ ➄ @sanchezcastejon ↑ ➅ @Miotroyo2parte ↓ ➆ @Jorge_Vilches ↑↑ ➇ @ldpsincomplejos ↓</t>
  </si>
  <si>
    <t>Más influyentes ahora en Derecha/Centro Dcha.: ➀ @pablocasado_ ↓ ➁ @Santi_ABASCAL ↓ ➂ @rosadiezglez ↑ ➃ @libertaddigital ↑ ➄ @Miotroyo2parte ↓ ➅ @Jorge_Vilches ↑ ➆ @ldpsincomplejos ↓ ➇ @Rafa_Hernando ↑↑ ➈ @Gallato7 ↓</t>
  </si>
  <si>
    <t>Más comentados ahora en Derecha/Centro Dcha.: ➀ @pablocasado_ ↓ ➁ @Santi_ABASCAL ↓ ➂ @Miotroyo2parte ↑ ➃ @rosadiezglez ➄ @ldpsincomplejos ↑ ➅ @libertaddigital ↑ ➆ @PPopular ↑ ➇ @Bribon1970 ↑ ➈ @Anonymus_ES ↑</t>
  </si>
  <si>
    <t>pic.twitter.com/JFanO8CSYq</t>
  </si>
  <si>
    <t>Más influyentes ahora en Derecha/Centro Dcha.: ➀ @Santi_ABASCAL ↓ ➁ @pablocasado_ ↓ ➂ @Miotroyo2parte ↑ ➃ @rosadiezglez ➄ @ldpsincomplejos ➅ @libertaddigital ↑ ➆ @Anonymus_ES ↑↑ ➇ @Bribon1970 ↑ ➈ @javiernegre10 ↑</t>
  </si>
  <si>
    <t>Más comentados ahora en Derecha/Centro Dcha.: ➀ @pablocasado_ ↓↓ ➁ @Santi_ABASCAL ↓ ➂ @libertaddigital ↓ ➃ @PPopular ↓↓ ➄ @javiernegre10 ↓↓ ➅ @Gallato7 ↓ ➆ @Miotroyo2parte ↓↓ ➇ @sanchezcastejon ↑ ➈ @pedroccastillo ↑</t>
  </si>
  <si>
    <t>Más influyentes ahora en Derecha/Centro Dcha.: ➀ @Santi_ABASCAL ↓ ➁ @pablocasado_ ↓↓ ➂ @libertaddigital ↓ ➃ @javiernegre10 ↓ ➄ @Gallato7 ↓↓ ➅ @Miotroyo2parte ↓↓ ➆ @rosadiezglez ↑ ➇ @pedroccastillo ↑ ➈ @ldpsincomplejos ↑</t>
  </si>
  <si>
    <t>Más comentados ahora en Derecha/Centro Dcha.: ➀ @pablocasado_ ↑ ➁ @Santi_ABASCAL ↓↓ ➂ @rosadiezglez ↓ ➃ @PPopular ↓ ➄ @sanchezcastejon ↓↓ ➅ @Miotroyo2parte ↓ ➆ @javiernegre10 ↓ ➇ @ahorapodemos ↓ ➈ @pedroccastillo ↓↓</t>
  </si>
  <si>
    <t>Más influyentes ahora en Derecha/Centro Dcha.: ➀ @pablocasado_ ↑ ➁ @Santi_ABASCAL ↓↓ ➂ @rosadiezglez ↓ ➃ @Miotroyo2parte ↓ ➄ @libertaddigital ↓↓ ➅ @javiernegre10 ↓ ➆ @pedroccastillo ↓↓ ➇ @Gallato7 ↓ ➈ @MariaTabarnia ↓</t>
  </si>
  <si>
    <t>Miércoles Democrático 🇪🇸❤️💛❤️</t>
  </si>
  <si>
    <t>🔴Mañana estaremos desde las 21:00 con el hashtag #BoicotPorLaDemocracia a @EspejoPublico #susanagriso y @laSextaTV por la manipulación de las palabras de @Santi_ABASCAL No dejemos que les salga gratis manipular la información por interes político. #MiercolesDemocratico</t>
  </si>
  <si>
    <t>https://pbs.twimg.com/media/Dr7JpgaWoAAuEyb.jpg</t>
  </si>
  <si>
    <t>Somos Miércoles Democrático y todos los miércoles, a las 21:00Hrs publicamos un Hashtag por la Unión de España y la Democracia ¡Orgullo de ser ESPAÑOL! ❤️💛❤️</t>
  </si>
  <si>
    <t>Más comentados ahora en Derecha/Centro Dcha.: ➀ @pablocasado_ ↓ ➁ @sanchezcastejon ↑ ➂ @Santi_ABASCAL ↑ ➃ @PPopular ↑ ➄ @pedroccastillo ↓ ➅ @rosadiezglez ↓ ➆ @Miotroyo2parte ↓ ➇ @libertaddigital ↓ ➈ @ldpsincomplejos ↓</t>
  </si>
  <si>
    <t>Más influyentes ahora en Derecha/Centro Dcha.: ➀ @pablocasado_ ↓ ➁ @Santi_ABASCAL ↑ ➂ @pedroccastillo ↓ ➃ @rosadiezglez ↓ ➄ @Miotroyo2parte ↓ ➅ @libertaddigital ↓ ➆ @ldpsincomplejos ↓ ➇ @javiernegre10 ↓ ➈ @Gallato7 ↓</t>
  </si>
  <si>
    <t>La Bruja Buena del Sur</t>
  </si>
  <si>
    <t>Lo único bueno que tiene @Santi_ABASCAL es un polvo.</t>
  </si>
  <si>
    <t>https://pbs.twimg.com/media/Dr627NQWkAUjYgt.jpg</t>
  </si>
  <si>
    <t>On Mars</t>
  </si>
  <si>
    <t>I'm the passenger. The woman who sold the world. Woman in Black. Girl from South Country.</t>
  </si>
  <si>
    <t>Más comentados ahora en Derecha/Centro Dcha.: ➀ @pablocasado_ ↓ ➁ @PPopular ↑ ➂ @Santi_ABASCAL ↓ ➃ @sanchezcastejon ↓ ➄ @rosadiezglez ↓ ➅ @pedroccastillo ↑ ➆ @ahorapodemos ↑ ➇ @libertaddigital ↓ ➈ @Gallato7 ↓ ➉ @PSOE ↑</t>
  </si>
  <si>
    <t>Más influyentes ahora en Derecha/Centro Dcha.: ➀ @pablocasado_ ↓ ➁ @Santi_ABASCAL ↓ ➂ @rosadiezglez ↑ ➃ @pedroccastillo ↑ ➄ @libertaddigital ↓ ➅ @Gallato7 ↓ ➆ @Miotroyo2parte ↑ ➇ @ldpsincomplejos ↓ ➈ @Tonicanto1 ↓</t>
  </si>
  <si>
    <t>Yo soy Andaluz y si, así se paseaban los Señoritos por las tierras mientras los jornaleros trabajaban de Sol a Sol, aquí quien demuestra ignorancia eres tú @Santi_ABASCAL @gabrielrufian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</si>
  <si>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https://twitter.com/Santi_ABASCAL/status/1062370743944732672
https://twitter.com/gabrielrufian/status/1061983171699507200</t>
  </si>
  <si>
    <t>Sánchez</t>
  </si>
  <si>
    <t>He soñado que vox hacía un acto en el valle de los caídos y resultaba que todos mis conocidos eran de vox. Santi Abascal pretende hacerme un inception</t>
  </si>
  <si>
    <t>Hoy les dejamos las 5 primeras medidas que propone @vox para y por una España mejor y una #EspañaViva 👇🏽👇🏽 @Ortega_Smith @Santi_ABASCAL @monasterioR</t>
  </si>
  <si>
    <t>https://pbs.twimg.com/media/Dr6s_kgXQAAefSf.jpg</t>
  </si>
  <si>
    <t>San Sebastián de los Reyes</t>
  </si>
  <si>
    <t>Historiador consciente de que no trabajará de lo que estudia. UAM.</t>
  </si>
  <si>
    <t>No es por dar envidia pero @Santi_ABASCAL me ha dado amor ❤️</t>
  </si>
  <si>
    <t>https://pbs.twimg.com/media/Dr6qQTuW4AAqaB5.jpg</t>
  </si>
  <si>
    <t>VOX @vox_es no os perdaís el nuevo video hablando de VOX titulado VOX EL VOTO ÚTIL. No tiene desperdicio el video. @VOX_VLC_Ciudad @cid_lauri @MediterraneoDGT @voxnoticias_es @Juan_A_Morales @kastillo62 @Alternativa_VOX @Santi_ABASCAL @okdiario</t>
  </si>
  <si>
    <t>https://youtu.be/E1LvoYx_q7Y</t>
  </si>
  <si>
    <t>Errejón cariño, yo fui a Vistalegre, no tengo Mercedes, no tengo ni coche ni carnet, y a Misa voy en el coche San Fernando, un rato a pie y el otro caminando. @iErrefon @ahorapodemos @vox_malaga @VOXSevilla @madrid_vox @Santi_ABASCAL @monasterioR @vox_es #AndaluciaporEspaña RT @lbalcarce: Errejón diciendo que los que llenaron el acto de VOX en Vistalegre eran "familias de ir a misa en Mercedes-Benz". Tienen miedo y es comprensible. Ya se los advirtió Marine Le Pen: "Podemos existe porque en España no hay un Frente Nacional"</t>
  </si>
  <si>
    <t>https://twitter.com/lbalcarce/status/1051841151748239360</t>
  </si>
  <si>
    <t>pic.twitter.com/ArFjMnNyuc</t>
  </si>
  <si>
    <t>Te he visto por ahí. Y siento que me encantas. ¿Quieres... acostarte conmigo? @Santi_ABASCAL</t>
  </si>
  <si>
    <t>#EleccionesAndaluzas @Santi_ABASCAL pm @Ortega_Smith protagonizarán el acto central y público de #VOX de inicio de campaña este #sábado #17Nov en #Málaga en la Pza. de la Marina #VOXAvanza</t>
  </si>
  <si>
    <t>https://pbs.twimg.com/media/Dr5GTEkWwAEjRKp.jpg</t>
  </si>
  <si>
    <t>Recomiendo ⤵️ @rubnpulido @Santi_ABASCAL @hermanntertsch @LaRetuerka @PoetaLiberalum @laclavecultural @Nanchinho @PepeluSaliquet @Valkiria_Sigrun @canete707 @monasterioR @pilarwillpi @cultrun @Bribon1970 @dexamina @ConsuorF @ManhattanManOne #BuenasNoches</t>
  </si>
  <si>
    <t>pic.twitter.com/SyT2lD6uaH</t>
  </si>
  <si>
    <t>Álvaro J. T.</t>
  </si>
  <si>
    <t>Zascazo de @Santi_ABASCAL al creído de @gabrielrufian . ¿Querías caldo? Toma 3 tazas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</si>
  <si>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Madrileño, católico y español ante todo, residente en Alcalá de Henares... ¡Vive de Cristo!</t>
  </si>
  <si>
    <t>Hace dos años y medio de estas declaraciones de @Santi_ABASCAL y por desgracia nada ha cambiado. España necesita a @vox_es ya.</t>
  </si>
  <si>
    <t>https://www.youtube.com/watch?time_continue=49&amp;v=IlQ3hItZwSk</t>
  </si>
  <si>
    <t>Más comentados ahora en Derecha/Centro Dcha.: ➀ @pablocasado_ ↓ ➁ @Santi_ABASCAL ↓ ➂ @sanchezcastejon ↑ ➃ @pedroccastillo ↓ ➄ @PPopular ↓ ➅ @Miotroyo2parte ↓ ➆ @ldpsincomplejos ↓ ➇ @rosadiezglez ↑ ➈ @Gallato7 ↑↑</t>
  </si>
  <si>
    <t>Más influyentes ahora en Derecha/Centro Dcha.: ➀ @pablocasado_ ↑↑↑ ➁ @Santi_ABASCAL ↓ ➂ @pedroccastillo ↓ ➃ @Miotroyo2parte ↓ ➄ @ldpsincomplejos ↑ ➅ @rosadiezglez ↑ ➆ @Gallato7 ↑↑ ➇ @libertaddigital ↓ ➈ @Jorge_Vilches ↑</t>
  </si>
  <si>
    <t>.@gabrielrufian pero mira que eres zote! Si te viese tu abuelo, reconocido falangista te soltaba dos hostias @Santi_ABASCAL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</si>
  <si>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https://twitter.com/santi_abascal/status/1062370743944732672
https://twitter.com/gabrielrufian/status/1061983171699507200</t>
  </si>
  <si>
    <t>Ostinus</t>
  </si>
  <si>
    <t>Q dice @SextaNoticiasTV q lo de @Santi_ABASCAL es xenófobia x sugerir q la política migratoria debe ser racional y decidida x los españoles..... No confundir con Democracia q es cuando un político tiene q ser escoltado x sus ideas políticas</t>
  </si>
  <si>
    <t>https://cronicaglobal.elespanol.com/politica/manuel-valls-mossos-escrache-barcelona_199225_102_amp.html?__twitter_impression=true</t>
  </si>
  <si>
    <t>Oficial de Registro Propiedad. Imparto cursos de derecho hipotecario. Soñando un mundo mejor. Soñando un mundo sin la Ley 13/2015 Contacto ostinus77@gmail.com</t>
  </si>
  <si>
    <t>http://elblogdeostinus77.wordpress.com</t>
  </si>
  <si>
    <t>Escorpio</t>
  </si>
  <si>
    <t>Entrevista a @Santi_ABASCAL @vox_es @Canal_13tv , lo más visto</t>
  </si>
  <si>
    <t>A quien le duela mi avatar, que se mude.</t>
  </si>
  <si>
    <t>La periodista católico-pepera Cristina López Schlichting ha dejado esta lección ‘magistral’ de Periodismo titulada: “Cómo hacer una entrevista con sectarismo e inquina y no querer disimularlo”. La ‘víctima’, @Santi_ABASCAL. #EspañaViva #VOX</t>
  </si>
  <si>
    <t>Más comentados hoy en Derecha/Centro Dcha.: ➀ @ldpsincomplejos ↑↑ ➁ @PPopular ↑ ➂ @sanchezcastejon ↑ ➃ @Santi_ABASCAL ↑ ➄ @pablocasado_ ↓ ➅ @rosadiezglez ↓ ➆ @PSOE ↓ ➇ @Albert_Rivera ↓ ➈ @Miotroyo2parte ↓</t>
  </si>
  <si>
    <t>https://pbs.twimg.com/media/Dr6YopcX4AE2u6J.jpg</t>
  </si>
  <si>
    <t>Más influyentes hoy en Derecha/Centro Dcha.: ➀ @ldpsincomplejos ↑↑ ➁ @Santi_ABASCAL ↑ ➂ @rosadiezglez ↓ ➃ @Albert_Rivera ↓ ➄ @Miotroyo2parte ↓ ➅ @Jorge_Vilches ↑↑↑ ➆ @Anonymus_ES ↑ ➇ @ElAguijon_ ↑ ➈ @InesArrimadas ↑</t>
  </si>
  <si>
    <t>https://pbs.twimg.com/media/Dr6YZWoX0AAlaBG.jpg</t>
  </si>
  <si>
    <t>Estas pelotas son las que hacen grandes a nuestros hermanos!Que nadie olvide que dan la cara cada día! @monasterioR @Ortega_Smith @Santi_ABASCAL @MMContesti @ActuaBaleares @voxnoticias_es @ivanedlm @ldpsincomplejos @eduardoinda @ManuelaSesIlles @HablamosE</t>
  </si>
  <si>
    <t>https://youtu.be/5SnUCBYeiV4</t>
  </si>
  <si>
    <t>Sergio Q1ta</t>
  </si>
  <si>
    <t>Estáis en contra de VOX y de Santi Abascal, pero le estáis dejando una España como para que termine de Presidente.</t>
  </si>
  <si>
    <t>España/Brasil</t>
  </si>
  <si>
    <t>Pensamiento crítico. No me gustan los extremos, ni las utopías. Pertenezco a la generación más equivocada de la historia. Emigrante sin esperanzas de volver.</t>
  </si>
  <si>
    <t>Más comentados ahora en Derecha/Centro Dcha.: ➀ @Santi_ABASCAL ↓ ➁ @PPopular ↑ ➂ @sanchezcastejon ↑ ➃ @Miotroyo2parte ↑ ➄ @libertaddigital ↑↑ ➅ @rosadiezglez ↑ ➆ @ldpsincomplejos ↓ ➇ @pablocasado_ ↑ ➈ @ahorapodemos ↑</t>
  </si>
  <si>
    <t>Más influyentes ahora en Derecha/Centro Dcha.: ➀ @Santi_ABASCAL ↓ ➁ @libertaddigital ↑↑ ➂ @Miotroyo2parte ↓ ➃ @rosadiezglez ↓ ➄ @ldpsincomplejos ↓ ➅ @GirautaOficial ↑ ➆ @javiernegre10 ↑ ➇ @FrayJosepho ↑</t>
  </si>
  <si>
    <t>Lady ley</t>
  </si>
  <si>
    <t>¿Y qué pasa con los funcionarios de #SOSPrisiones? Desprecio sin precedentes @interiorgob @manumarlasca @GirautaOficial @Tonicanto1 @ldpsincomplejos @Santi_ABASCAL @vox_es @Nacho_Abad @carlosherreracr</t>
  </si>
  <si>
    <t>Según @Ilsecerouno01: facha y murciana, eso lo explicaría todo. Lo primero pudiera ser que sí 🇪🇸, lo segundo seguro que sí. Echando un vistazo</t>
  </si>
  <si>
    <t>UN VERDADERO CAUDILLO CON UN REAL EJÉRCITO DETRÁS.. A POR LOS BARBAROS PODEMITAS... 👺👺👺👺👺👺👺👺👺👺👺👺👺👺👺👺 TODOS A VOTAR AL GRAN @Santi_ABASCAL</t>
  </si>
  <si>
    <t>https://pbs.twimg.com/media/Dr6T6DhXQAAMW7y.jpg</t>
  </si>
  <si>
    <t>Me recuerda a @Santi_ABASCAL pero en versión cutre RT @ierrejon: Saliendo a hablar a la gente que se queda fuera del salón de actos en la Universidad de Granada. Contentos por el desborde. Contadles que nos atrevemos a soñar con un país donde avancemos sin dejar a nadie atrás, contadles que sí se puede, contadles que @AdelanteAND</t>
  </si>
  <si>
    <t>https://twitter.com/ierrejon/status/1062057316164517891</t>
  </si>
  <si>
    <t>pic.twitter.com/hxWhihkfiq</t>
  </si>
  <si>
    <t>🇪🇸Resistencia. España es mi nación. Orgullo patrio.</t>
  </si>
  <si>
    <t>EL PP ESTÁ CAYENDO MUY BAJO..TODOS A VOTAR @Santi_ABASCAL</t>
  </si>
  <si>
    <t>https://pbs.twimg.com/media/Dr6SdItWwAEK4u6.jpg</t>
  </si>
  <si>
    <t>El Calvo</t>
  </si>
  <si>
    <t>Para @pablocasado_ el bable no se habla en Asturies. A este paso el Euskera será Vascuence y lo llamará dialecto. Es lo que tiene cuando quieres pasar por la derecha a @Santi_ABASCAL Yo nun falo asturianu, más nun fae falta un máster pa entendelo. #yofaloasturianu</t>
  </si>
  <si>
    <t>Calvo y culé // Johan Cruyff hizo que me enamorara del fútbol, y del Barça //</t>
  </si>
  <si>
    <t>victoria 🇪🇸 #DefiendeEspaña #Vox</t>
  </si>
  <si>
    <t>La Píldora Roja Magazine</t>
  </si>
  <si>
    <t>Cuando te azuzan contra los jueces y la banca por el impuesto hipotecario pero no te cuentan que quien lo impone y confisca es la administración de la que ellos viven muy bien. @vox @Santi_ABASCAL @hermanntertsch @juanrallo @dlacalle @manuel_llamas @clubdeviernes @MuyLiberal</t>
  </si>
  <si>
    <t>https://pbs.twimg.com/media/Dr6Ocy0XcAEP1x9.jpg</t>
  </si>
  <si>
    <t>Andalucía y Valencia España</t>
  </si>
  <si>
    <t>Lucho x lo justo. No a las autonomías. Si no te gusta lo q escribo no me sigas. Si me insultas te bloqueo #DefiendeEspaña 🇪🇸 Vox x la defensa de España</t>
  </si>
  <si>
    <t>Viñetas, humor y algún comentario que otro más serio contra la corrección política.</t>
  </si>
  <si>
    <t>Más claro el agua @Santi_ABASCAL ocultando no se soluciona el problema, solo se agrava porque un día la población harta se tomará la justicia por su mano, porque en su día los medios y los políticos lo taparon porque fueron ellos quien metieron a esta gentuza aquí, ¿para qué?😓😷 RT @Santi_ABASCAL: Los progres nos van a llevar al desastre por estar promoviendo sistemáticamente la inmigración masiva. Las grandes teles nos estigmatizan por decir esto... y no saben que en realidad están estigmatizando a una abrumadora mayoría de españoles que piensan lo mismo.</t>
  </si>
  <si>
    <t>WEIM T</t>
  </si>
  <si>
    <t>Santi Abascal habla en Castellano para todos los Españoles RT @Lucy121078:</t>
  </si>
  <si>
    <t>https://twitter.com/Lucy121078/status/1062864043541700608
https://youtu.be/LxZaOs36ffE</t>
  </si>
  <si>
    <t>España es mi País , mi nación , mi patria . No es la corrupción , ni la puta izquierda que quiere destruirlo .</t>
  </si>
  <si>
    <t>Este es el presidente que quiero, un presidente que mire por España primero. #EspañaPrimero #EspañaViva #LaEspañaVivaNoTieneMiedo 🇪🇸🇪🇸 @vox_es @Santi_ABASCAL</t>
  </si>
  <si>
    <t>https://pbs.twimg.com/media/Dr6OUxhXQAEmc8n.jpg</t>
  </si>
  <si>
    <t>DON PELAYO Y @Santi_ABASCAL SON IDÉNTICOS. LIBERTADORES DE LA ESPAÑA OPRIMIDA POR LOS BÁRBAROS PODEMITAS...TODOS EN MASA A VOTARLE..ARRIBA ESPAÑA! @AdanEsmit @pedroj_ramirez @eslamananadeFJL @bieitorubido @carlosherreracr @carloscuestaEM</t>
  </si>
  <si>
    <t>https://pbs.twimg.com/media/Dr6NdUUX0AAfS8F.jpg</t>
  </si>
  <si>
    <t>EL NUEVO DON PELAYO @Santi_ABASCAL SERÁ EL LIBERTADOR DE ESPAÑA DE ESTOS BÁRBAROS PODEMITAS QUE NOS INVADEN 👹👹👹👹👹👹👹👹👹 TODO EL MUNDO A VOTAR @vox_es</t>
  </si>
  <si>
    <t>https://pbs.twimg.com/media/Dr6MkD5XgAEhf5c.jpg</t>
  </si>
  <si>
    <t>La opinión libre</t>
  </si>
  <si>
    <t>Lo que dice y se le critica a @Santi_ABASCAL de expulsar a los magrebíes que han violado a una mujer es lo mínimo que hay que hacer con esta gentuza inadaptada, fuera de España basuras...</t>
  </si>
  <si>
    <t xml:space="preserve">Spain. </t>
  </si>
  <si>
    <t>Vive la vida</t>
  </si>
  <si>
    <t>ALG</t>
  </si>
  <si>
    <t>Clarísimo @Santi_ABASCAL</t>
  </si>
  <si>
    <t>LA VERDAD NOS HARÁ LIBRES!!</t>
  </si>
  <si>
    <t>Juan23</t>
  </si>
  <si>
    <t>El azote del progre y del nacionalista ya esta aquí, ya lo estaba, pero ellos mismos lo han sacado a relucir, quizas porque necesitaban o buscaban un enemigo. Veo preocupación ante el ascenso de @vox_es y @Santi_ABASCAL preparaos antiespañoles! YA estan aqui!</t>
  </si>
  <si>
    <t>Costa del Sol</t>
  </si>
  <si>
    <t>Memoria Compromiso y Fe.</t>
  </si>
  <si>
    <t>Más comentados ahora en Derecha/Centro Dcha.: ➀ @Santi_ABASCAL ↓ ➁ @PPopular ↓ ➂ @sanchezcastejon ↑ ➃ @rosadiezglez ↓ ➄ @ldpsincomplejos ↑ ➅ @Miotroyo2parte ↑ ➆ @PSOE ↑ ➇ @pablocasado_ ↑ ➈ @GirautaOficial ↑</t>
  </si>
  <si>
    <t>EL NO ES DE EXTREMA DERECHA..EL ES UN ATONTOLINAO...TODOS A VOTAR A @Santi_ABASCAL DE EXTREMA DERECHA.. VIVA ESPAÑA! RT @mariolinalina: - ¿Eres de extrema derecha? - Soy de Murcia #ElPrimoTeo ha descubierto una nueva forma de hacer el primo y no contestar a preguntas incómodas ¡GAÑAAAAAAAN!</t>
  </si>
  <si>
    <t>https://twitter.com/mariolinalina/status/1062427555880488967
https://www.eldiario.es/rastreador/Murcia-respuesta-Teodoro-Garcia-Egea_6_827727230.html</t>
  </si>
  <si>
    <t>Más influyentes ahora en Derecha/Centro Dcha.: ➀ @Santi_ABASCAL ↓ ➁ @rosadiezglez ↑ ➂ @Miotroyo2parte ↑ ➃ @ldpsincomplejos ↑ ➄ @GirautaOficial ↑ ➅ @Jorge_Vilches ↓ ➆ @javiernegre10 ↑ ➇ @CiudadanosCs ↓↓ ➈ @zoidoJI ↑↑↑</t>
  </si>
  <si>
    <t>TODOS A VOTAR AL GRAN CAUDILLO QUE LIMPIARA ESPAÑA DE SUCIOS PODEMITAS PERROFLAUTAS @Santi_ABASCAL</t>
  </si>
  <si>
    <t>pic.twitter.com/XxFoCycRoM</t>
  </si>
  <si>
    <t>ESO QUISIERAIS LOS PODEMITAS BÁRBAROS PERO @Santi_ABASCAL OS MANDARÁ LA VENEZUELA CAGANDO LECHES! RT @evanpezu: @lunadebenidorm @vox_es creo que se ha tropezado por el camino...</t>
  </si>
  <si>
    <t>https://twitter.com/evanpezu/status/1062419792987070466</t>
  </si>
  <si>
    <t>pic.twitter.com/DHsvfha9wR</t>
  </si>
  <si>
    <t>101Tv Málaga</t>
  </si>
  <si>
    <t>ELECCIONES 2-D| Santiago Abascal anuncia en @ElCascabelTRECE que VOX prepara un gran acto el sábado en Málaga en la Plaza de la Merced. Abre campaña en Málaga.  @Santi_ABASCAL @vox_malaga @vox_es</t>
  </si>
  <si>
    <t>J Garriga Doménech</t>
  </si>
  <si>
    <t>Impecable @Santi_ABASCAL sobre inmigración y sanidad universal. #EspañaViva</t>
  </si>
  <si>
    <t>http://www.101tv.es/noticias/elecciones-2d-santiago-abascal-anuncia-que-vox-prepara-un-gran-acto-el-sabado-en-malaga.aspx</t>
  </si>
  <si>
    <t>pic.twitter.com/B8ZeIhIpnJ</t>
  </si>
  <si>
    <t>https://pbs.twimg.com/media/Dr4sZHbXQAIuLmJ.jpg</t>
  </si>
  <si>
    <t>Barcelona, Catalunya, España</t>
  </si>
  <si>
    <t>La mediación es la mejor manera de resolver conflictos. Padre de 5 hijos. Pro-vida. Católico, defensor de la economía nacional y la justicia social. Perico.</t>
  </si>
  <si>
    <t>Cuenta oficial de #101TvMálaga. La información más cercana. Síguenos también en http://fb.me/101tvmalaga e https://www.instagram.com/101tvmalaga/</t>
  </si>
  <si>
    <t>http://www.101tv.es</t>
  </si>
  <si>
    <t>KARADE🇪🇸KONA</t>
  </si>
  <si>
    <t>Por noticias como ésta los españoles estamos hasta los cojones del "mamoneo" al que nos someten 𝗧𝗢𝗗𝗢𝗦 los políticos actuales. Por noticias como ésta cada vez estoy más convencido que @vox_es subirá como la espuma Adelante @Santi_ABASCAL @voxalcorcon_</t>
  </si>
  <si>
    <t>https://www.elmundo.es/espana/2018/11/13/5be9f0e9268e3e3c168b4636.html</t>
  </si>
  <si>
    <t>EUROPA</t>
  </si>
  <si>
    <t>ORGULLOS@ DE MI PAÍS Y MI BANDERA. SIN ESFUERZO, SIN DEDICACIÓN Y SIN CONSTANCIA NO SE CONSIGUE NADA HONRADAMENTE.</t>
  </si>
  <si>
    <t>Video hablando de VOX @vox_es @Santi_ABASCAL @Ortega_Smith @JoseMa_Llanos @voxnoticias_es @okdiario @monasterioR</t>
  </si>
  <si>
    <t>Eugenio_Moltó_García</t>
  </si>
  <si>
    <t>.#AndaluciaPorEspana @vox_malaga Este sábado, a las 12:00h. iniciamos la campaña electoral en la Plaza de la Marina de Málaga. Contaremos con nuestros líderes @Santi_ABASCAL, @Ortega_Smith y @FSerranoCastro. ¡No te pierdas el principio de la reconquista!</t>
  </si>
  <si>
    <t>https://youtu.be/aLI2NnZ5x1Q</t>
  </si>
  <si>
    <t>https://pbs.twimg.com/media/Dr5_l1nX4AMMGIo.jpg</t>
  </si>
  <si>
    <t>Marco Strife</t>
  </si>
  <si>
    <t>¿Es Santi Abascal el verdadero heredero de Eskorbuto? RT @pablofluiters: ¿Era Rocío Jurado el verdadero punk? ¿No sería Nirvana el auténtico punk? ¿Es Taburete el nuevo punk? ¿Es el trap el punk del siglo XXI? ¿Es cargarse en los calzoncillos y salir así a la calle el verdadero y nuevo punk?</t>
  </si>
  <si>
    <t>Eugenio Moltó García, perfil político, candidato número uno del partido político VOX por la provincia de Málaga a las elecciones andaluzas del 02/12/2018.</t>
  </si>
  <si>
    <t>https://twitter.com/pablofluiters/status/1062835985967407106</t>
  </si>
  <si>
    <t>REVOL🇪🇸</t>
  </si>
  <si>
    <t>🗣 No hemos venido a la política para hacer encuestas y ver qué es mayoritario y defenderlo. Eso lo hacen los populistas de verdad, como Cs. 🗣 Todos los que están en el centro, indefinidos, como Ciudadanos, que no se posicionan, son los más populistas. ➡️@santi_ABASCAL</t>
  </si>
  <si>
    <t>Hoy es siempre todavía. Allé voy. ¡Y eh, ojo que tengo canal de YouTube!</t>
  </si>
  <si>
    <t>https://www.youtube.com/channel/UC17Ddm4yEithdXnEANDO1RQ</t>
  </si>
  <si>
    <t>Una voz diferente.</t>
  </si>
  <si>
    <t>http://Instagram.com/revol_es</t>
  </si>
  <si>
    <t>✖️Incorpóreo Senpai</t>
  </si>
  <si>
    <t>Para cuándo @Santi_ABASCAL en Super Smash Bros? @NintendoES</t>
  </si>
  <si>
    <t>Destiny Island</t>
  </si>
  <si>
    <t>Caster de @PlayMakersgg -Rey de los Tontos.</t>
  </si>
  <si>
    <t>http://instagram.com/carlos___senpai</t>
  </si>
  <si>
    <t>Más comentados ahora en Derecha/Centro Dcha.: ➀ @Santi_ABASCAL ↓ ➁ @PPopular ↑ ➂ @sanchezcastejon ↑ ➃ @ldpsincomplejos ↑ ➄ @Miotroyo2parte ↓ ➅ @rosadiezglez ↑ ➆ @Jorge_Vilches ↑ ➇ @CiudadanosCs ↑↑ ➈ @pablocasado_ ↑</t>
  </si>
  <si>
    <t>Más influyentes ahora en Derecha/Centro Dcha.: ➀ @Santi_ABASCAL ↓ ➁ @ldpsincomplejos ↑ ➂ @Miotroyo2parte ↑ ➃ @rosadiezglez ↑ ➄ @Jorge_Vilches ↑ ➅ @CiudadanosCs ↑↑ ➆ @GirautaOficial ↑ ➇ @pedroccastillo ↓ ➈ @Bribon1970 ↑</t>
  </si>
  <si>
    <t>Así se defiende la Fiesta Nacional; así se habla desde cualquier palestra política. Gracias @Santi_ABASCAL Para que tomen nota los Morantistas acá en #Ecuador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</si>
  <si>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JaviCH</t>
  </si>
  <si>
    <t>A punto de conseguir la ILP ,gracias,gracias y gracias. Sin @jusapol ,esto NUNCA se hubiera logrado. La @policia y la @guardiacivil se lo merecen. Gracias @CiudadanosCs @MGutierrezCs @vox_es @Santi_ABASCAL @navedelmisterio @Nacho_Abad @pacomarhuenda @pablocasado_ @PSOE 👏👏👆</t>
  </si>
  <si>
    <t>https://pbs.twimg.com/media/Dr53Fn0XQAApQWF.jpg</t>
  </si>
  <si>
    <t>En el sur de Madrid</t>
  </si>
  <si>
    <t>Afortunado por trabajar en lo que me gusta.Lo que hacemos en la vida tiene su eco en la eternidad. Madrid - España</t>
  </si>
  <si>
    <t>Azra (ACTUA / VOX)</t>
  </si>
  <si>
    <t>GRACIAS por vuestro apoyo. @Santi_ABASCAL @Ortega_Smith @jcamposasensi @sergiorfarre @MMContesti @ActuaBaleares @vox_es y a todos mis compañeros que no tengo espacio para nombrar. A todas y cada una de las personas que me han llamado o dejado un mensaje. GRACIAS DE CORAZÓN.</t>
  </si>
  <si>
    <t>Comité de Actúa-VOX, #Palma de Mallorca. Redactora de #mediterraneodigital// Madre de dos princesas azra.dobojlic@mediterraneodigital.com</t>
  </si>
  <si>
    <t>¿Es VOX populista? 📺 @Santi_ABASCAL responde 👉🏻 "Tratamos de decir la verdad, desde propuestas mayoritarias hasta las que no lo son tanto. Populistas son lo que se presentan a las elecciones con un programa y luego hacen lo contrario, o los que se anclan en la indefinición"</t>
  </si>
  <si>
    <t>pic.twitter.com/QYdNZAKAwh</t>
  </si>
  <si>
    <t>La izquierda utilizando la violencia como una herramienta política. Lo llevan en el ADN @Santi_ABASCAL @vox_es @JoseMa_Llanos Azra Dobojlic, dirigente de VOX y colaboradora de MEDITERRÁNEO DIGITAL, amenazada a las puertas de su casa  vía @MediterraneoDGT</t>
  </si>
  <si>
    <t>https://www.mediterraneodigital.com/espana/baleares/azra-dobojlic-dirigente-de-vox-y-colaboradora-de-mediterraneo-digital-amenazada-a-las-puertas-de-su-casa.html</t>
  </si>
  <si>
    <t>Me puede gustar más, o menos, pero una cosa que me encanta de @Santi_ABASCAL es que responde, siempre, a las imbecilidades de los rufianes, y lo hace sin complejos, de eso no cabe duda y se lo aplaudo.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</si>
  <si>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ColectivoPresosDelPP</t>
  </si>
  <si>
    <t>#MiSímboloMiPaís son los tunos. Abascaaaaal, Abascaaaal, que maldita serenataaaaaa. Abascaaaal, Abascaaal, eres una puuuuuta rataaaaa. @Santi_ABASCAL ¿Te mola o qué? Ponla en un mitin!</t>
  </si>
  <si>
    <t>Soto del Real y todos y cada uno de los centros penitenciarios del estado Español.  De Cataluña, País Vasco y Gibraltar incluidos, cabrones!</t>
  </si>
  <si>
    <t>El partido nos repudia. Nosotros nos unimos para defender nuestro honor, nuestros intereses dentro de la cárcel y nuestros millones en paraísos fiscales.</t>
  </si>
  <si>
    <t>Nacho S.</t>
  </si>
  <si>
    <t>✊🌷Pagos opacos desde Suiza en la manifestación q unirá a .@PPopular, .@CiudadanosCs y .@vox_es 🔴.@pablocasado_, .@Albert_Rivera y .@Santi_ABASCAL planean utilizar una asociación extranjera contra el .@PSOE la jornada de reflexión. #PSOEFortaleceAlPaís</t>
  </si>
  <si>
    <t>https://www.elplural.com/politica/pagos-opacos-desde-suiza-en-la-manifestacion-que-unira-a-pp-ciudadanos-y-vox_206199102</t>
  </si>
  <si>
    <t>Principado de Asturias</t>
  </si>
  <si>
    <t>Libre Pensamiento - Socialdemócrata Colaborador y Defensor Social: Médicos Sin Fronteras, Cruz Roja, Acnur.... Busco el encuentro y no el enfrentamiento.</t>
  </si>
  <si>
    <t>¿Es VOX populista? Tratamos de decir la verdad, desde propuestas mayoritarias hasta las que no lo son tanto. Populistas son lo que se presentan a las elecciones con un programa y luego hacen lo contrario. @Santi_ABASCAL 👏🏻 📺👉🏻</t>
  </si>
  <si>
    <t>pic.twitter.com/xywqhA7DqO</t>
  </si>
  <si>
    <t>El Zasca de @Santi_ABASCAL al patán de @gabrielrufian se ha oido hasta en Algeciras. Para que vuelvas. Gililpollas.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</si>
  <si>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Vivo en un país en el que trabajar, estudiar,esforzarse,respetar las leyes,luchar por tu familia,RESPETAR a tus iguales (sean hombres, mujeres,homosexuales o heteros, inmigrantes...)amar tu país,está mal o facha. O lo solucionáis @vox_es o yo me bajo.@Ortega_Smith @Santi_ABASCAL</t>
  </si>
  <si>
    <t>FinoFilipino</t>
  </si>
  <si>
    <t>La Reconquista comenzará en tierras andaluzas, @Santi_ABASCAL 🇪🇸 #AndalucíaPorEspaña  — VOX Noticias 🇪🇸 (@voxnoticias_es) 12 de noviembre de 2018 POR FAVOR  — Samuel Moreno (@samujmr) 12 de noviembre…</t>
  </si>
  <si>
    <t>https://finofilipino.org/post/180076036453</t>
  </si>
  <si>
    <t>pic.twitter.com/u4TSeMD6ms
pic.twitter.com/lbcC13IgdM</t>
  </si>
  <si>
    <t>Vitoria</t>
  </si>
  <si>
    <t>Mi plan inicial era comerme el mundo, pero me he estancado un poco en el chocolate y las pizzas.</t>
  </si>
  <si>
    <t>http://FinoFilipino.ORG</t>
  </si>
  <si>
    <t>Más comentados ahora en Derecha/Centro Dcha.: ➀ @Santi_ABASCAL ↓ ➁ @PPopular ↓ ➂ @sanchezcastejon ↑ ➃ @ldpsincomplejos ➄ @Miotroyo2parte ↑ ➅ @rosadiezglez ↑ ➆ @Jorge_Vilches ↑ ➇ @pablocasado_ ↓ ➈ @pedroccastillo ↓</t>
  </si>
  <si>
    <t>VOX Meco</t>
  </si>
  <si>
    <t>rufián, no Rufián. Maldito corrector... 😅. Qué grande es @Santi_ABASCAL #VoxAvanza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</si>
  <si>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Meco, España</t>
  </si>
  <si>
    <t>Cuenta oficial de VOX Meco. Sin complejos, por España. Si quieres formar parte de nuestro proyecto, contáctanos. meco@madrid.voxespana.es</t>
  </si>
  <si>
    <t>http://voxespana.es/madrid</t>
  </si>
  <si>
    <t>Más influyentes ahora en Derecha/Centro Dcha.: ➀ @Santi_ABASCAL ↓ ➁ @ldpsincomplejos ↑ ➂ @Miotroyo2parte ↓ ➃ @rosadiezglez ↑ ➄ @Jorge_Vilches ↑ ➅ @pedroccastillo ↓ ➆ @DolorsMM ↑↑ ➇ @hermanntertsch ↑ ➈ @GirautaOficial ↓</t>
  </si>
  <si>
    <t>Sabemos si Santi Abascal se ha bajado ya de Rocinante ???</t>
  </si>
  <si>
    <t>Carlos Martín</t>
  </si>
  <si>
    <t>A mí no me parece tan mala idea lo que propone @Santi_ABASCAL , lo de echar del Pais a 15 sarnosos ( no es un insulto) abusadores sexuales de una muchacha y por lo menos 1 que acuchilló a un muchacho , la mayoría con detenciones anteriores, no sé dónde ve la gente el problema.</t>
  </si>
  <si>
    <t>Lo fácil en este país es ser del Madrid, pero a mi me gusta el Fútbol.</t>
  </si>
  <si>
    <t>Jess.🐾</t>
  </si>
  <si>
    <t>Lo que tu no sabes es que la gente del campo tiene mas luces que tú, compadre, no te va a servir la propaganda populista. @Santi_ABASCAL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</si>
  <si>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 xml:space="preserve">Asgard. </t>
  </si>
  <si>
    <t>Whatever you do in this life, it's not legendary, unless your friends are there to see it. En busca de mi sitio. TSAAFD. GCAFD. Universidad Pablo de Olavide.</t>
  </si>
  <si>
    <t>Ramón Maceiras López</t>
  </si>
  <si>
    <t>El principal error del video de @Santi_ABASCAL a caballo es su inoportunidad. Opacó el lanzamiento de la candidatura de @FSerranoCastro y de los otros candidatos de @vox_es en Andalucía. En otro momento hubiera tenido menos impacto. El tono épico siempre es de doble filo...</t>
  </si>
  <si>
    <t>https://pbs.twimg.com/media/Dr5jGRQWkAAGtgO.jpg</t>
  </si>
  <si>
    <t>Hasta el gorro de demagogos y botarates, la corrección política, feminazis, salvapatrias, indignaditos, falsimedia y golpistas de todo pelaje. Con #VOXÚtil</t>
  </si>
  <si>
    <t>http://ramonmaceiras.blogspot.com</t>
  </si>
  <si>
    <t>Tony73</t>
  </si>
  <si>
    <t>El populismo se ha apoderado del Congreso. La banca repercutirá estos gastos al cliente. Éste es el titular del contrato: gastos van a él. Hace días @pablocasado_ decía que quitaría este impuesto. Solo @Santi_ABASCAL mantiene quitarlo.  vía @libre_mercado</t>
  </si>
  <si>
    <t>https://www.libremercado.com/2018-11-13/no-solo-es-el-impuesto-el-congreso-obligara-a-la-banca-a-pagar-todos-los-gastos-de-las-hipotecas-1276628166/</t>
  </si>
  <si>
    <t>Madridista, independiente y pensador libre, de Mourinho. Rock and roll y blues. No soy más madridista que nadie,pero nadie es más madridista que yo. Pucelano.</t>
  </si>
  <si>
    <t>https://youtu.be/D85td0caXyE</t>
  </si>
  <si>
    <t>Más comentados ahora en Derecha/Centro Dcha.: ➀ @Santi_ABASCAL ↑↑ ➁ @PPopular ↓ ➂ @sanchezcastejon ↓ ➃ @ldpsincomplejos ↓ ➄ @Miotroyo2parte ↓ ➅ @rosadiezglez ↑ ➆ @pedroccastillo ↑ ➇ @Jorge_Vilches ↑ ➈ @pablocasado_ ↓</t>
  </si>
  <si>
    <t>Más influyentes ahora en Derecha/Centro Dcha.: ➀ @Santi_ABASCAL ↑↑ ➁ @ldpsincomplejos ↓ ➂ @Miotroyo2parte ↓ ➃ @pedroccastillo ↑ ➄ @rosadiezglez ↑ ➅ @Jorge_Vilches ↑ ➆ @GirautaOficial ↓ ➇ @Bribon1970 ↑ ➈ @CiudadanosCs ↑</t>
  </si>
  <si>
    <t>📢🇪🇸 Actos públicos de la #EspañaViva de esta semana ⤵ 🚩 14/11 MURCIA con @Santi_ABASCAL y Ortega Lara. 🚩 15/11 SEVILLA con @Santi_ABASCAL @Ortega_Smith @monasterioR y @FSerranoCastro 🚩17/11 MÁLAGA con @Santi_ABASCAL @Ortega_Smith y @FSerranoCastro ¡Te esperamos! 😉✌</t>
  </si>
  <si>
    <t>https://pbs.twimg.com/media/Dr5W5DYW4AUiCgQ.jpg</t>
  </si>
  <si>
    <t>👉🏻Hemos de acabar en las urnas con una izquierda ultra radical capaz de amenazar a una mujer con su hija  @Santi_ABASCAL @ERIKEO5555 @Ortega_Smith @jcamposasensi @ActuaBaleares @gsampolfer @Albert_Rivera @Tonicanto1 @InesArrimadas</t>
  </si>
  <si>
    <t>https://www.diaribalear.es/hemos-de-acabar-en-las-urnas-con-una-izquierda-ultra-radical-capaz-de-amenazar-a-una-mujer-con-su-hija/</t>
  </si>
  <si>
    <t>Arriba @Santi_ABASCAL Viva @VOX #VoxDefiendeEspaña #voxExtremaNecesidad 🇪🇸🇪🇸❤❤🇪🇸🇪🇸 RT @sextaNoticias: VÍDEO | VOX vuelve a mandar un mensaje xenófobo en Sevilla: "Las fronteras de un país se abren a voluntad de los que están dentro"</t>
  </si>
  <si>
    <t>https://twitter.com/sextaNoticias/status/1061721477995728896
http://atres.red/udmsf3</t>
  </si>
  <si>
    <t>Más comentados ahora en Derecha/Centro Dcha.: ➀ @PPopular ↑↑ ➁ @Santi_ABASCAL ↑↑↑ ➂ @sanchezcastejon ↑ ➃ @rosadiezglez ↓ ➄ @ldpsincomplejos ↓ ➅ @pedroccastillo ↑ ➆ @Miotroyo2parte ↑ ➇ @pablocasado_ ↑ ➈ @PSOE ↓</t>
  </si>
  <si>
    <t>Más influyentes ahora en Derecha/Centro Dcha.: ➀ @Santi_ABASCAL ↑↑↑ ➁ @rosadiezglez ↓ ➂ @ldpsincomplejos ↓ ➃ @pedroccastillo ↑ ➄ @Miotroyo2parte ↑ ➅ @GirautaOficial ↓ ➆ @Jorge_Vilches ↑ ➇ @VidalQuadras ↑ ➈ @ElAguijon_ ↑</t>
  </si>
  <si>
    <t>👉🏻Una dirigente de ACTUA-VOX Palma amenazada a la salida de su domicilio  Todo nuestro apoyo a @AzraVox ante el fascismo de la izquierda radical @ActuaBaleares @vox_es @Santi_ABASCAL @CristinaSegui_ @paatri_guerrero @gsampolfer @MMContesti</t>
  </si>
  <si>
    <t>https://www.diaribalear.es/dirigente-actua-vox-amenazada/</t>
  </si>
  <si>
    <t>❌نIberian Wolfن❌</t>
  </si>
  <si>
    <t>El tío Rufi, haciendo de las suyas.....jejeejejje. @Santi_ABASCAL RT @Santi_ABASCAL: Mira rufián, yo soy de Amurrio y te digo que en mi pueblo hay pocos señoritos del PNV. Y tú, q eres de origen andaluz, cuando llamas "señoritos" a Morante y su cuadrilla, demuestras una ignorancia total sobre tu propia tierra, sus costumbres y sus gentes. Pregunta en casa, patán</t>
  </si>
  <si>
    <t>Alcobendas, España</t>
  </si>
  <si>
    <t>🇪🇸🇪🇸C.A.F.E. 🇪🇸🇪🇸 #VikingoMadrista #VigilanteDeSeguridad #AfiliadoVox... Si no te gusta mi País, lárgate. Respeta y te respeto.</t>
  </si>
  <si>
    <t>https://twitter.com/Santi_ABASCAL/status/1062084863438872576
https://twitter.com/expansioncom/status/1061930362622918656</t>
  </si>
  <si>
    <t>Sebya💋</t>
  </si>
  <si>
    <t>Solo la gente mala como @gabrielrufian cae en un pozo sin fondo y espero como muchos españoles que @Santi_ABASCAL te ponga donde te mereces. RT @gabrielrufian: Así es como los señoritos se paseaban con la vara entre jornaleros. Nos tendréis enfrente. Vayáis de verde o de naranja.</t>
  </si>
  <si>
    <t>https://twitter.com/gabrielrufian/status/1061983171699507200
https://twitter.com/voxnoticias_es/status/1061917901031129088?s=21</t>
  </si>
  <si>
    <t>¿A @Albert_Rivera le da igual la imagen que dan sus admiradores, con la foto de Franco en el salón? Es que luego dicen que no son franquistas. Porque de @Santi_ABASCAL para qué preguntárselo siquiera. Willy Toledo</t>
  </si>
  <si>
    <t>El socialismo es esto. Para comer tiene usted que convertirse en un esclavo de los comunistas y presentar un carnet para comprar productos de pésima calidad muy caros. Y es el mismo carnet de la patria para votar. Esto es PODEMOS. Venezuela tiene petróleo España no @Santi_ABASCAL RT @UlisesGamez10:</t>
  </si>
  <si>
    <t>https://twitter.com/UlisesGamez10/status/1062361755794456577
https://images.google.com/imgres?imgurl=http%3A%2F%2Felestimulo.com%2Felinteres%2Fwp-content%2Fuploads%2Fsites%2F10%2F2017%2F05%2FClap_01-1100x618.jpg&amp;imgrefurl=http%3A%2F%2Felestimulo.com%2Felinteres%2Faumentan-precio-de-la-caja-clap-un-60-000-a-bss-150%2F&amp;docid=N37Nxml6O46pTM&amp;tbnid=cnHrckJxBTPfQM%3A&amp;vet=1&amp;w=1100&amp;h=618&amp;hl=es-ES&amp;source=sh%2Fx%2Fim</t>
  </si>
  <si>
    <t>PEDRO ANTONIO</t>
  </si>
  <si>
    <t>Vaya, parece que a algunos políticos les hace daño ver una bandera Española en un despacho oficial @Alternativa_VOX @Santi_ABASCAL @CiudadanosCs @Albert_Rivera @Albiol_XG @manumarlasca @FuncionarioCris @okdiario @JosPastr @_anapastor_ @pacomarhuenda @sextaNoticias RT @freeman_IIII: #sosprisiones sigue en lucha por el reconocimiento que merecemos, por las agrsiones diarias que sufrimos, por el abandono de la administracion. ¡¡¡COMPAÑEROS LUCHEMOS UNIDOS!!!</t>
  </si>
  <si>
    <t>https://twitter.com/freeman_IIII/status/1062304046369910784
https://www.diarioinformacion.com/elda/2018/11/13/funcionarios-realizaran-cuatro-dias-huelga/2085235.html</t>
  </si>
  <si>
    <t>Murcia, Región de Murcia</t>
  </si>
  <si>
    <t>Por fin @Santi_ABASCAL y @Ortega_Smith vienen a Málaga. Junto a los números uno por las listas de Málaga y Sevilla a las elecciones Andaluzas. Este sábado a las 12 horas en la plaza de la Marina la #EspañaViva se expresará en #AndalucíaPorEspaña No te lo pierdas!!!</t>
  </si>
  <si>
    <t>https://pbs.twimg.com/media/Dr5KJOvWoAArwFz.jpg</t>
  </si>
  <si>
    <t>Menciono a algunos tuiteros que me gusta leer🤔 : @Slaanesh_Adria @PaharitoAsul @Santi_ABASCAL @undosytess @RosaFregi @FrayJosepho @hermanntertsch @isequiser96 @JosPastr Me dejaré muchos, seguramente 😩</t>
  </si>
  <si>
    <t>¿Son los de @vox_es tan valientes que no dicen que son de Vox ¿que dices @Santi_ABASCAL? RT @grancocolio: Dos acosadores increspan y provocan a Willy Toledo en sitio público fue en la estación de atocha. Dicen que no son fascistas, si lo son porque en muchos sitios se han visto juntos con los dirigentes de Vox.</t>
  </si>
  <si>
    <t>https://twitter.com/grancocolio/status/1062343204908027904</t>
  </si>
  <si>
    <t>pic.twitter.com/RU9EjjynIJ</t>
  </si>
  <si>
    <t>Estabais deseando escuchar a @Santi_ABASCAL y @Ortega_Smith en Málaga. Este sábado es el día, a las 12 horas en la Plaza de la Marina. Asistirán también los números uno por las listas de Sevilla y Málaga a las elecciones del #2D #AndalucíaPorEspaña</t>
  </si>
  <si>
    <t>https://pbs.twimg.com/media/Dr5IhLtWwAEHZYc.jpg</t>
  </si>
  <si>
    <t>A los votantes andaluces. Esto es lo que ofrece los comunistas mercenarios de Podemos a España. Siendo Venezuela un país petrolero para mal comer y comprar los venezolanos están obligados a presentar el carnet de la patria. @FJL_EsRadio @Ortega_Smith @Santi_ABASCAL @monasterioR RT @UlisesGamez10:</t>
  </si>
  <si>
    <t>Esta tarde a las 19:30 nuestro presidente nacional @Santi_ABASCAL estará en @murciaesradio para hablar del acto de mañana en Murcia. ¡no te lo pierdas!</t>
  </si>
  <si>
    <t>https://pbs.twimg.com/media/Dr5HWCeX4AoSVHV.jpg</t>
  </si>
  <si>
    <t>Si de verdad el señor Iñigo el Qué Jon de Podemos cree que una familia puede comer tres veces al día con una caja de alimentos y aseo con productos de pésima calidad o miente o está ciego. Solo tienen derecho de comprar los que tienen carnet de la patria. VIVA VOX @Santi_ABASCAL RT @UlisesGamez10:</t>
  </si>
  <si>
    <t>Óscar Cuevas</t>
  </si>
  <si>
    <t>Lo que se echa de menos en estos días a #MuchachadaNui para que @enjutomojamuto hiciera un Celebrities de @Santi_ABASCAL, pordiós.</t>
  </si>
  <si>
    <t>Informo y analizo lo que pasa en Guadalajara desde 1995. Me gustan mi hija, mi mujer, el vino, el @deporguada, la política, los toros, la gente. Y ahora canto.</t>
  </si>
  <si>
    <t>La sociedad española quiere recompensar a quienes día a día velan por seguridad, derechos y libertades de todos los ciudadanos y porque es de Justicia su equiparación. @AbeInfanzon @jusapol @alfonso_ussia @perezreverte @kastillo62 @Santi_ABASCAL @ldpsincomplejos #ILPSumate</t>
  </si>
  <si>
    <t>https://pbs.twimg.com/media/Dr5CyBpWkAIn92s.jpg</t>
  </si>
  <si>
    <t>Patético titular de la SER obviando que la violencia y las amenazas de muerte solo las han protagonizado los escuadristas de la ultraizquierda RT @SER_Murcia: Incidentes, violencia y detenciones a las puertas del acto de VOX en Murcia.</t>
  </si>
  <si>
    <t>🗣️A todos nuestros afiliados, simpatizantes y amigos. ⏰Este tarde a las 19:30 en Es la Tarde Región de Murcia programa de @murciaesradio Nuestro presidente @Santi_ABASCAL para toda #Murcia Para escuchar online:  #EspañaViva #AbacalenMurcia #OrtegaLara</t>
  </si>
  <si>
    <t>http://esradiomurcia.es/</t>
  </si>
  <si>
    <t>https://pbs.twimg.com/media/Dr4-Z-DWkAEZ0tr.jpg</t>
  </si>
  <si>
    <t>Traición y la traición se paga cara. A por ellos en las urnas. VOX EL PARTIDO DE LA ESPAÑA VIVA. VIVA VOX POR UNA ESPAÑA UNIDA Y DEMOCRÁTICA SIN TRAIDORES Y SIN COMUNISTAS MERCENARIOS DE PODEMOS Y GOLPISTAS ENEMIGOS DE ESPAÑA @Ortega_Smith @Santi_ABASCAL @monasterioR @FJL_EsRadio RT @DaniPintoB: Iceta cree ahora que los políticos presos catalanes no cometieron ni sedición ni rebelión  Ha admitido que les visitaría en la cárcel si él dejara de liderar a su partido o si no trascendiera públicamente. Eso es el PSC. Que nadie se equivoque. 🤷‍♂️</t>
  </si>
  <si>
    <t>https://twitter.com/DaniPintoB/status/1062314779019239424
https://www.cope.es/n/292039</t>
  </si>
  <si>
    <t>Javier Lacambra</t>
  </si>
  <si>
    <t>Populismo es servirse de cuentos como el del cambio climático para vaciar los bolsillos del castigado contribuyente, lo de @Santi_ABASCAL a caballo solo es un teatro electoral que no hace mal a nadie.</t>
  </si>
  <si>
    <t>Zaragoza. España.</t>
  </si>
  <si>
    <t>Nací el último 18 de julio festivo. Hijo del clasicismo grecorromano, la tradición judeocristiana y las revoluciones liberales.</t>
  </si>
  <si>
    <t>Sr. @Albert_Rivera , le contestan con una claridad meridiana. @Santi_ABASCAL @vox_es @CiudadanosCs #Templarios Martes y 13 RT @Santi_ABASCAL: Claro Albert, nosotros no le ponemos apellidos al patriotismo. Vuestro "patriotismo constitucional" descremado y acomplejado no se atreve a reivindicar con orgullo la Historia de España ni a defender la base constitucional: que España es "indivisible" e "INDISOLUBLE" en Bruselas</t>
  </si>
  <si>
    <t>Adelante Andaluces, adelante españoles al cuadrado, Andalucia por España @Santi_ABASCAL @monasterioR @VOXSevilla @vox_malaga @PabloSez @Pablo_Casado #AndaluciaporEspaña #VoxAvanza #VOXgana RT @Santi_ABASCAL: "Un andaluz es un español al cuadrado" Salvador de Madariaga. #AndalucíaPorEspaña. La #EspañaViva se ha levantado hoy en Sevilla.</t>
  </si>
  <si>
    <t>https://twitter.com/Santi_ABASCAL/status/1061719359880679431</t>
  </si>
  <si>
    <t>pic.twitter.com/uOpCLK0N47</t>
  </si>
  <si>
    <t>URGENTE: El presidente traidor Judas Sánchez quiere imponer la jubilación forzosa a partir de los 61 años de edad para abrir el mercado laboral a los inmigrantes y así tener millones de clientes para que voten por el PSOE. @FJL_EsRadio @Ortega_Smith @Santi_ABASCAL @monasterioR</t>
  </si>
  <si>
    <t>https://pbs.twimg.com/media/Dr44K_HU8AAnbtc.jpg</t>
  </si>
  <si>
    <t>David del Moral</t>
  </si>
  <si>
    <t>Esos policías de Jusapol que abuchean a @sanchezcastejon y recibieron a un ultraderechista como @Santi_ABASCAL con gritos de "Presidente, Presidente", estaban muy tranquilitos con @marianorajoy. Es un tema de ideología, no sólo de equiparación salarial. No todos son así, claro. RT @okdiario: Los policías de Jusapol abuchean a Sánchez por la equiparación salarial a la salida de unos premios</t>
  </si>
  <si>
    <t>https://twitter.com/okdiario/status/1062133223768182784
https://okdiario.com/videos/2018/11/13/policias-jusapol-abuchean-sanchez-equiparacion-salarial-salida-unos-premios-3343731?utm_term=Autofeed&amp;utm_campaign=ok&amp;utm_medium=Social&amp;utm_source=Twitter#Echobox=1542067075</t>
  </si>
  <si>
    <t>Barberà del Vallès, 🇪🇸🇪🇺🌍</t>
  </si>
  <si>
    <t>Socialdemòcrata, republicà, laïcista, federalista, constitucionalista, progressista, feminista i postnacionalista || Polítiques, UAB.</t>
  </si>
  <si>
    <t>https://delmoraloblog.wordpress.com/</t>
  </si>
  <si>
    <t>Javier Yohn Zubiría</t>
  </si>
  <si>
    <t>¡Cuidado! Si @susannagriso ha dicho lo que ha dicho de @Santi_ABASCAL , ¿qué va a decir de usted? ¡Y los del @PPopular hacen cualquier cosa con tal de que no les llamen "fachas"! Incluso traicionar a sus votantes. RT @Rafa_Hernando: Si como dice @santiabascal hay 14 magrebies q han violado a una joven la solución no puede ser su expulsión porque quedarían impunes. Deben ser detenidos, juzgados, condenados a las penas correspondientes y expulsados cuando las cumplan. Es lo que prevé la ley.</t>
  </si>
  <si>
    <t>SANTI ABASCAL (VOX) carga contra los MATONES y ESCUADRISTAS de PABLO IGLESIAS y Podmeos:  via @YouTube</t>
  </si>
  <si>
    <t>🇪🇸 De Bilbao. Ahora en Madrid ن</t>
  </si>
  <si>
    <t>http://youtu.be/npe7qut04G4?a</t>
  </si>
  <si>
    <t>En el PP hay gente válida, pero no pueden con el lastre acumulado durante décadas @Santi_ABASCAL @CasaReal @GeneralDavila @Ortega_Smith @GirautaOficial @monasterioR @carloscuestaEM @hermanntertsch @AsisTimermans @AbeInfanzon @isanseba @ivanedlm @elentirvigo @vox_es @rosadiezglez</t>
  </si>
  <si>
    <t>El Delegado del Gobierno ha permitido que durante cuatro horas se acosase y amenazase de muerte a los asistentes sin disolver la concentración ilegal. Los escuadristas podemitas han contado con la complicidad de Pedro Sánchez. @hermanntertsch RT @hermanntertsch: Ante estas imágenes y lo que se oye en la grabación... ¿No va a haber ninguna investigación sobre convocantes de quienes corean la demanda de asesinatos y desmembración de los asistentes? ¿No hay fiscal que se ponga a escuchar con atención esta grabación e investigue quienes son?</t>
  </si>
  <si>
    <t>Fin de Semana</t>
  </si>
  <si>
    <t>Este domingo ha pasado por los micrófonos de Fin de semana @Santi_ABASCAL, presidente de @vox_es. ¡Vuelve a escuchar su entrevista con @crisschlichting!</t>
  </si>
  <si>
    <t>https://twitter.com/hermanntertsch/status/1062793762345238528
https://twitter.com/CasoAislado_Es/status/1062766747332288512</t>
  </si>
  <si>
    <t>http://ww.cope.es/g2ven2</t>
  </si>
  <si>
    <t>900 50 60 06. Magacín de fin de semana de la Cadena COPE con Cristina López Schlichting. Sábados y domingos de 10 a 14h.</t>
  </si>
  <si>
    <t>http://www.cope.es/programas/fin-de-semana</t>
  </si>
  <si>
    <t>I added a video to a @YouTube playlist  SANTI ABASCAL (VOX) carga contra los MATONES y ESCUADRISTAS de PABLO</t>
  </si>
  <si>
    <t>Daniel Pérez</t>
  </si>
  <si>
    <t>El jovencito Fachastain (1974) DP: Blas Piñar Director: Santi Abascal #OnePerfectShot</t>
  </si>
  <si>
    <t>https://pbs.twimg.com/media/Dr_gmGCXQAAUDU9.jpg</t>
  </si>
  <si>
    <t>Madre orgullosa.</t>
  </si>
  <si>
    <t>🇪🇸➕TEMPLE➕🇪🇸</t>
  </si>
  <si>
    <t>DISCURSO DE SANTI ABASCAL EN SEVILLA</t>
  </si>
  <si>
    <t>https://youtu.be/TRbEMMMqC0g</t>
  </si>
  <si>
    <t>CORONA DE ARAGÓN</t>
  </si>
  <si>
    <t>AMO MI PATRIA NO COMULGO CON POLÍTICOS TEMPLARIO HASTA LA MUERTE ,SOY MADRIDISTA GRACIAS A MI PADRE SIEMPRE #templarios #laorden #lasilenciosacat</t>
  </si>
  <si>
    <t>Cristian Buendía V.</t>
  </si>
  <si>
    <t>El patriota Santi Abascal protegiendo las libertades de los españoles. Ah no, que los "comunistas" no deben de serlo...</t>
  </si>
  <si>
    <t>https://pbs.twimg.com/media/Dr_bKruWsAEADQp.jpg</t>
  </si>
  <si>
    <t>Graduado en Periodismo. Sigo estudiando. Work in progress.</t>
  </si>
  <si>
    <t>https://es.linkedin.com/in/cristianbuendiavidal</t>
  </si>
  <si>
    <t>Así va España</t>
  </si>
  <si>
    <t>Nuevo ZAS de Santi Abascal a Gabriel Rufián</t>
  </si>
  <si>
    <t>https://www.asivaespana.com/politica/nuevo-zas-de-santi-abascal-a-gabriel-rufian</t>
  </si>
  <si>
    <t>Política, sociedad, vergüenza ajena, curiosidades, gifs, memes... El lado cómico de nuestro país, que no es poco</t>
  </si>
  <si>
    <t>http://www.asivaespana.com</t>
  </si>
  <si>
    <t>Dani de Castro 🐧</t>
  </si>
  <si>
    <t>No ha sido mi mejor día, pero sin duda lo peor ha sido entrar al ascensor, mirarme al espejo y pensar que me doy un aire a Santi Abascal.</t>
  </si>
  <si>
    <t>Entre Urnieta, Madrid y Murcia</t>
  </si>
  <si>
    <t>Co-creador de @Palabra_Fugaz. Y más cosas, yo qué sé. Si quieres que te recomiende cosas sin criterio alguno, entra en #CosasDcstr2017 o #CosasDcstr2018.</t>
  </si>
  <si>
    <t>-Vamos a Follar mi amor... -Uy no se. Es que aquí al aire libre... -Si aquí no nos ve nadie que estamos perdidos en plena montaña. -Bueno venga va pero uno rapidAQUEL NO ES SANTI ABASCAL BEBIENDO AGUA DE UN CHARCO!?</t>
  </si>
  <si>
    <t>𝐂𝐑𝐈𝐒𝐓𝐈𝐀𝐍</t>
  </si>
  <si>
    <t>Santi Abascal va a fichar al chino en este mercado invernal para apuntalar más la banda derecha</t>
  </si>
  <si>
    <t>https://youtu.be/7suPRPfkqIE</t>
  </si>
  <si>
    <t>Galicia, Portugal</t>
  </si>
  <si>
    <t>Te quiero pero yo k sé</t>
  </si>
  <si>
    <t>Gracias a los policías que hacen su trabajo, pero reproche al Delegado del Gobierno que debe dimitir por no disolver una concentración ilegal de comunistas impulsada por Podemos y que ha hostigado a los asistentes durante horas entre incitaciones al odio y amenazas de muerte. RT @voxnoticias_es: 🔴📹 Un grupo de ultraizquierdistas, jaleados por @podemosmurcia @IUVRM, rodean la entrada del hotel en donde se celebra el acto de VOX Murcia. Insultan, acosan e intentan agredir a los asistentes. Son un cáncer social. Gracias a la Policía por garantizar orden y seguridad 👏🏻👏🏻</t>
  </si>
  <si>
    <t>https://twitter.com/voxnoticias_es/status/1062759518382231552</t>
  </si>
  <si>
    <t>pic.twitter.com/46BDZ0GnU4</t>
  </si>
  <si>
    <t>Santi Abascal explicando que, si se monta una dictadura fascista en España, no habrá que recibir a los refugiados que huyen de las dictaduras fascistas.</t>
  </si>
  <si>
    <t>. @ElCascabelTRECE no se si sois conscientes que un tuit vuestro estándar tiene en el mejor de los casos entre 10 y 20 RTs y aquellos en los que mencionáis a VOX o Santi Abascal han promediado más de 150 o 200 RTs. Yo que vosotros reflexionaba sobre que busca la gente.</t>
  </si>
  <si>
    <t>Dlq. La unidad de España ni se vota ni se discute, la unidad de España se defiende. VOX, somos la orgullosa resistencia ESPAÑOLA</t>
  </si>
  <si>
    <t>Quorom</t>
  </si>
  <si>
    <t>Creo que a Santi Abascal de VOX se le ha ido el anuncio de las manos. Casi pierda del AVE para ir a Madrid. RT @JWulen: Cuando pierdes el tren de Hogwarts</t>
  </si>
  <si>
    <t>https://twitter.com/JWulen/status/1062643211129241600</t>
  </si>
  <si>
    <t>pic.twitter.com/BAVHSLoKAV</t>
  </si>
  <si>
    <t>Mi gato elige casa</t>
  </si>
  <si>
    <t>Juego #WOW, #indie y #Overwatch (le doy a comer a Blizzard) Hago streaming en @OverPowerES_ también CM en @RamenProfiGames Contacto: quoromhs@gmail.com</t>
  </si>
  <si>
    <t>http://www.twitch.tv/quorom</t>
  </si>
  <si>
    <t>Español74 🇪🇸🏧</t>
  </si>
  <si>
    <t>El nivel de este país se ve en este ejemplo: Santi Abascal sale a caballo diciendo q la reconquista comenzará esta vez en Andalucía y le llaman extrema derecha y facha y... 😂😂 #SesiónDeControl Hacéroslo mirar ¿ok?</t>
  </si>
  <si>
    <t>Padre orgulloso, marido enamorado, currante, español y del atleti. Nadie es perfecto y FACHA 😂😂</t>
  </si>
  <si>
    <t>✊José Manuel Amoedo ciudadano del 🌎</t>
  </si>
  <si>
    <t>🔘🔘🔘Tiene madera de jefe se cree el futuro Caudillo 🔘🔘Tras años la división de la derecha en tres partidos desde hace años @Santi_ABASCAL @pablocasado_ @Albert_Rivera #Felizmiércoles 🔘Tres hombres y el mismo destino el "Fascismo"  vía @diario_16</t>
  </si>
  <si>
    <t>http://diario16.com/abascal/</t>
  </si>
  <si>
    <t>Narón, A Coruña</t>
  </si>
  <si>
    <t>Republicano ,@psoe_ferrol ,Sindicalista de la UGT de corazón ,trabajo de noche, luchando por las desigualdades sociales e injusticias. Ferrolano de nacimiento</t>
  </si>
  <si>
    <t>¿Nos van a mandar a hacer las guerras que decidan los franceses y alemanes? Nos basta con el Ejército Español. No queremos disolver España en la fantasía totalitaria de los burócratas de Bruselas, Berlín y París. RT @europapress: Borrell respalda la creación de un ejército europeo tras las criticas de Trump a Macron: "Es muy positivo"</t>
  </si>
  <si>
    <t>https://twitter.com/europapress/status/1062688629007548417
https://www.europapress.es/internacional/noticia-borrell-respalda-creacion-ejercito-europeo-criticas-trump-macron-20181114134104.html</t>
  </si>
  <si>
    <t>Y el lunes 19 de noviembre la #EspañaViva llega a CHICLANA #Cadiz #Chiclana</t>
  </si>
  <si>
    <t>The Nicolas' Misfortune</t>
  </si>
  <si>
    <t>Yo no votaré, dejadme en paz. Pero el tópico ese de nadie me representa es más cierto que nunca. Me caes bien todos, incluido Santi Abascal que dijo muchas verdades en el Cascabel. Otras cosas que dice ya pues rozan la barbaridad, pero los veo necesarios fíjate lo que te digo</t>
  </si>
  <si>
    <t>Purgatory</t>
  </si>
  <si>
    <t>aka Inbetween Days Nicolas 74 aka a Sense of a Nicolas 43</t>
  </si>
  <si>
    <t>http://www.boringnicolas.com</t>
  </si>
  <si>
    <t>MelOsoPolar</t>
  </si>
  <si>
    <t>Los del #yofaloasturianu lo que queréis es vivir del dinero público, no como Pablo Casado o Santi Abascal que llevan viviendo de lo público toda su vida.</t>
  </si>
  <si>
    <t>Artico</t>
  </si>
  <si>
    <t>Trapecista a media jornada. Froilanista a tiempo completo. ¡Camín Novo! #CapitaniaOrtigueiraMohías</t>
  </si>
  <si>
    <t>Sara Vegas Martín</t>
  </si>
  <si>
    <t>Santi Abascal montando a caballo y Rivera hace años que no consume de eso.</t>
  </si>
  <si>
    <t>Todo lo expuesto en la presente cuenta es ficción o parodia... salvo alguna cosa.</t>
  </si>
  <si>
    <t>https://twitter.com/i/moments/911563323937820672</t>
  </si>
  <si>
    <t>Santi Abascal en TRECE: “Quienes nos llaman de todo son extremistas como el presidente del Gobierno"</t>
  </si>
  <si>
    <t>https://www.cope.es/n/291904</t>
  </si>
  <si>
    <t>El PSOE quiere meter con calzador el "euskera" en La Rioja, cuando lo que había que hacer es sacarlo de la Rioja Alavesa y de otros sitios de Álava donde es un idioma extraño e impuesto institucionalmente. RT @orue_s: El PSOE quiere equiparar el castellano con el euskera en el Estatuto de La Rioja</t>
  </si>
  <si>
    <t>https://twitter.com/orue_s/status/1062601550311374851</t>
  </si>
  <si>
    <t>https://pbs.twimg.com/media/Dr8eeBpXQAAfrD4.jpg</t>
  </si>
  <si>
    <t>Danny Redrum</t>
  </si>
  <si>
    <t>Si es una mano derecha, regaládsela a Santi Abascal. Él es muy de derechas y todas le parecen pocas. RT @elconfidencial: Misterio en el metro de Valencia: encuentran una mano en las vías</t>
  </si>
  <si>
    <t>https://twitter.com/elconfidencial/status/1062600254632198144
https://www.elconfidencial.com/espana/comunidad-valenciana/2018-11-14/mano-metro-valencia-via_1646062/?utm_source=twitter&amp;utm_medium=social&amp;utm_campaign=ECDiarioManual</t>
  </si>
  <si>
    <t>Ni cocacola ni cocacolo</t>
  </si>
  <si>
    <t>No me no me, que te que te…</t>
  </si>
  <si>
    <t>http://www.teepublic.com/user/daparacami</t>
  </si>
  <si>
    <t>Ladran, luego cabalgamos. 😉</t>
  </si>
  <si>
    <t>HOY no te lo puedes perder: 🚩 14/11 MURCIA con Santi_ABASCAL y Ortega Lara. #VOXÚtil #VOXAvanza #AbascalEnMurcia #OrtegaLara #EspañaViva #Murcia</t>
  </si>
  <si>
    <t>https://pbs.twimg.com/media/Dr83j9mXQAAk7GB.jpg</t>
  </si>
  <si>
    <t>#EspañaEsUna #SuperVox #Vox #VozAvanza #EspañaLoPrimero #LaEspañaQueMadruga #LaEspañaQueTrabaja voxnoticias_es: ¿Es VOX populista? 📺 Santi_ABASCAL responde 👉🏻 "Tratamos de decir la verdad, desde propuestas mayoritarias hasta las que no lo son tanto…</t>
  </si>
  <si>
    <t>pic.twitter.com/zt6WrgoVih</t>
  </si>
  <si>
    <t>Carlos D. Santos</t>
  </si>
  <si>
    <t>Si es que, en éste país de intransigentes, te tatuas una esvástica, quemas vivo a un indigente y apalizas a un par de negros, te vas de copas con el Arcadi Espada, el Santi Abascal y el Jiménez Losantos... ... y ya te están llamando facha! Rojos de mierda! Bolcheviques!</t>
  </si>
  <si>
    <t>Asturies</t>
  </si>
  <si>
    <t>Druida, bardo, amante, cocinero, matemático, anarka, ♏Escorpión♏ ⚋La vida es aquello que te va sucediendo mientras tú te empeñas en hacer otros planes.⚋ JLennon</t>
  </si>
  <si>
    <t>LEWIS</t>
  </si>
  <si>
    <t>Estoy mas perdido en matemáticas que Santi Abascal en una ONG</t>
  </si>
  <si>
    <t>Isla Cristina | Huelva</t>
  </si>
  <si>
    <t>.aífargoiB</t>
  </si>
  <si>
    <t>𝕘𝕦𝕚𝕝𝕝𝕠 😬</t>
  </si>
  <si>
    <t>ese niño era nada más y nada menos que santi abascal RT @PAISESTE: @Godivaciones @marisanba1 Mi hijo tiene que ir al médico esta semana por un problema estomacal serio, pero me ha pedido que no sea mañana, que mañana va a clase si o si, que no admite más estupideces de huelgas. 15 años.</t>
  </si>
  <si>
    <t>https://twitter.com/PAISESTE/status/1062457507396968449</t>
  </si>
  <si>
    <t>Illo, Nigeria</t>
  </si>
  <si>
    <t>Pisha is an expression typical from Cádiz. Could be translated as 'mate' but only people from that City use it</t>
  </si>
  <si>
    <t>El Periódico</t>
  </si>
  <si>
    <t>Los internautas trolean el vídeo de VOX al estilo Chiquito de la Calzada. El partido de Santi Abascal publicó un peculiar vídeo anunciando 'la reconquista' de Andalucía</t>
  </si>
  <si>
    <t>http://elperiodi.co/wa64l1</t>
  </si>
  <si>
    <t>Información, participación y conversación con El Periódico. 🗣️Si te interesa la política, síguenos en Telegram https://telegram.me/elperiodico</t>
  </si>
  <si>
    <t>http://www.elperiodico.com</t>
  </si>
  <si>
    <t>Me</t>
  </si>
  <si>
    <t>Menos Santi Abascal y más Juan López de Uralde #compartencolor '  vía @DebatAlRojoVivo</t>
  </si>
  <si>
    <t>https://goo.gl/AygpkN</t>
  </si>
  <si>
    <t>"Magrebíes okupas y sarnosos", el nuevo lío de Santi Abascal en Twitter</t>
  </si>
  <si>
    <t>https://www.elplural.com/politica/magrebies-okupas-y-sarnosos-el-nuevo-lio-de-santi-abascal-en-twitter_206177102</t>
  </si>
  <si>
    <t>Sacre [Andrzej] 🔻</t>
  </si>
  <si>
    <t>Agregadme o Santi Abascal os visitará mientras dormis. RT @Sacre: ¡Comencemos una buena amistad en Pokémon GO! ¡Mi código de Entrenador es 6660 7731 2210!</t>
  </si>
  <si>
    <t>https://twitter.com/Sacre/status/1062474574242201602</t>
  </si>
  <si>
    <t>Bienvenido a mi desorden. Marxista-leninista. Militante del @elpce. Rap. Metal. Calvito sexy. Orgullo de clase, no de rapper. Productor/Beatmaker.</t>
  </si>
  <si>
    <t>http://www.facebook.com/sacrebeats</t>
  </si>
  <si>
    <t>Nigger de ghetto</t>
  </si>
  <si>
    <t>¡Que viene Santi Abascal!</t>
  </si>
  <si>
    <t>pic.twitter.com/6eu1gRakmY</t>
  </si>
  <si>
    <t>En mi barrio llevamos pipas, pero son de girasol.</t>
  </si>
  <si>
    <t>madre de mamones</t>
  </si>
  <si>
    <t>A Santi Abascal solo le falta grabarse subido a una cornisa de un rascacielos mirando la ciudad desde lo alto, en cuclillas, junto a una gárgola.</t>
  </si>
  <si>
    <t>Defensora de la lactancia prolongada. Y madre de varones ~ Me gusta hacer el humor con jon viene. Humor para tronistas con cabeza ~ Tuits NO autobiográficos</t>
  </si>
  <si>
    <t>Txanete</t>
  </si>
  <si>
    <t>🚔 En estos momentos Santi_ABASCAL y Ortega_Smith apoyando la vigilia de jusapol frente al Congreso para exigir ⬇️ ✔ #YoApoyoILPJusapol ✔ #ILPJusapol ✔ #EquiparacionYA  — VOX 🇪🇸 (vox_es) November 12, 2018RT @vox_es: 🚔 En estos momentos @Santi_ABASCAL y @Ortega_Smith apoyando la vigilia de @jusapol frente al Congreso para exigir ⬇️ ✔ #YoApoyoILPJusapol ✔ #ILPJusapol ✔ #EquiparacionYA</t>
  </si>
  <si>
    <t>https://twitter.com/jusapolbcn/status/1062459371903422464</t>
  </si>
  <si>
    <t>https://pbs.twimg.com/media/Dr1wJGxWwAE79-i.jpg</t>
  </si>
  <si>
    <t>Menorca.info</t>
  </si>
  <si>
    <t>El líder de VOX cabalga hacia «la Reconquista» cual rohirrim y las redes se tronchan de risa</t>
  </si>
  <si>
    <t>https://buff.ly/2DCK4QK</t>
  </si>
  <si>
    <t>https://pbs.twimg.com/media/Dr6bjKNX0AcM1kn.jpg</t>
  </si>
  <si>
    <t>Menorca</t>
  </si>
  <si>
    <t>Edición digital del diario Menorca, con la información más completa de la Isla y abierta a la participación.</t>
  </si>
  <si>
    <t>http://www.menorca.info</t>
  </si>
  <si>
    <t>Gadegània</t>
  </si>
  <si>
    <t>Santi Abascal y Vox a la reconquista de España</t>
  </si>
  <si>
    <t>pic.twitter.com/uFwGLKCZXS</t>
  </si>
  <si>
    <t>Gadegània, república independent. Dic lo que em surt de la cigala. O no.</t>
  </si>
  <si>
    <t>Elhabji</t>
  </si>
  <si>
    <t>La puta ajada de pelo blanco, busca con estas noticias hacerse un hueco entre elisas benis,escolares y la secta.. Pobre gañan... @El_Plural</t>
  </si>
  <si>
    <t>Nueva York, USA</t>
  </si>
  <si>
    <t>Déjame solo esta tarde, que tengo que hablar con Dios y tiene que escucharme...</t>
  </si>
  <si>
    <t>El.Tio.Ese</t>
  </si>
  <si>
    <t>Quedate con quien te mira como Santi Abascal al TioLaBoina... aunque pases de su culo olimpicamente</t>
  </si>
  <si>
    <t>https://pbs.twimg.com/media/Dr6VblQXgAE4gvX.jpg</t>
  </si>
  <si>
    <t>Vladivostok, Rusia</t>
  </si>
  <si>
    <t>Techi CF</t>
  </si>
  <si>
    <t>Santi abascal o pablo casado — Para qué?? Si es para follar a los dos</t>
  </si>
  <si>
    <t>https://curiouscat.me/CabreraTechiCF/post/706271552?t=1542141651</t>
  </si>
  <si>
    <t>Club de fans per donar suport a Techi, la guanyadora de GH VIP 6 i Presidenta de la Generalitat ♥️</t>
  </si>
  <si>
    <t>http://www.techirepesca.cat</t>
  </si>
  <si>
    <t>Lo dicho, vergüenza tras vergüenza. Los españoles a merced de la chapuza y de la inseguridad. Esto es insoportable, tanto como los cafres que llaman xenófobos y racistas a todo el que ose denunciarlo. España entera a merced también de la estigmatización. RT @A3Noticias: #ÚLTIMAHORA: Se fuga uno de los dos menores detenidos tras la agresión sexual a una joven en Santa Coloma</t>
  </si>
  <si>
    <t>https://twitter.com/A3Noticias/status/1062423482913447937
http://atres.red/qou4h1</t>
  </si>
  <si>
    <t>Los progres nos van a llevar al desastre por estar promoviendo sistemáticamente la inmigración masiva. Las grandes teles nos estigmatizan por decir esto... y no saben que en realidad están estigmatizando a una abrumadora mayoría de españoles que piensan lo mismo. RT @rubnpulido: La semana pasada os lo advertí, y hoy, me entero de que un medio marroquí lo corrobora apuntando hacia Béni Ounif como zona desde la que 5.000 subsaharianos se están preparando con el fin de cruzar ilegalmente la frontera de Marruecos para llegar a España.</t>
  </si>
  <si>
    <t>https://twitter.com/rubnpulido/status/1062387650303275008
http://article19.ma/accueil/archives/102785</t>
  </si>
  <si>
    <t>Alberto, reacciona y reconoce que Santi Abascal es la mejor opción para la Presidencia del Gobierno. VAMOOOOS ESPAÑAAAAAAA! URGE VOX - URGE VOX - URGE VOX - VAMOOOOS ESPAÑAAAAAAA! URGE VOX - URGE VOX - URGE VOX - VAMOOOOS ESPAÑAAAAAAA! URGE VOX - URGE VOX - URGE VOX - VAMOOOOOS! RT @Santi_ABASCAL: Claro Albert, nosotros no le ponemos apellidos al patriotismo. Vuestro "patriotismo constitucional" descremado y acomplejado no se atreve a reivindicar con orgullo la Historia de España ni a defender la base constitucional: que España es "indivisible" e "INDISOLUBLE" en Bruselas</t>
  </si>
  <si>
    <t>El Festivalero</t>
  </si>
  <si>
    <t>Mi TL a martes: 1. Santi Abascal a caballo. 2. Pijo tries to troll and get trolled. Yo, ya.</t>
  </si>
  <si>
    <t>El barro</t>
  </si>
  <si>
    <t>Tengo la gracia en el culo, así que mejor me doy la vuelta.</t>
  </si>
  <si>
    <t>Adelante. Que Andalucía salga ya de ese saqueo sistemático y empobrecimiento. Viva Andalucía! y su gente ,que seguro sabrá Votar Santi Abascal "reconquista" Andalucía a caballo y las redes se llenan de memes  vía @elmundoes</t>
  </si>
  <si>
    <t>DdCL</t>
  </si>
  <si>
    <t>Santi Abascal entrando en mi barrio con su ejército de cortijeros a caballo, te lo imaginas? Yo tampoco</t>
  </si>
  <si>
    <t>Lo raro no es que los Pocholo y Borjamari de Willy Toledo hayan tenido que irse de redes sociales, sino que sus padrinos Albert Rivera y Santi Abascal puedan estar ytener el mismo dicurso nazi sin que se les abuchee en cada acto. Una cosa es civismo y otra tolerar a los nazis.</t>
  </si>
  <si>
    <t>Viejas Armas</t>
  </si>
  <si>
    <t>¿Cuántas veces habrá visto Gladiator Santi Abascal?</t>
  </si>
  <si>
    <t>AKA T.E.D. Kaczynski BEASTIE CHICHOS. 108, plant based mofocker.</t>
  </si>
  <si>
    <t>Ciudadano Cualquiera</t>
  </si>
  <si>
    <t>Muy claro Santi Abascal con el tema de la inmigración 👏🏻👏🏻👏🏻</t>
  </si>
  <si>
    <t>pic.twitter.com/6HgW73tbDL</t>
  </si>
  <si>
    <t>Autor del Vídeo: Un ciudadano cualquiera, Desarmando a Podemos. Defensor de la libertad individual y de una sociedad libre. #YoconVOX</t>
  </si>
  <si>
    <t>http://www.recuperandolacordura.com</t>
  </si>
  <si>
    <t>¿Qué hará la "derechita cobarde" del PP,como diría Santi Abascal?¿Se acobardará como de costumbre no sea que les llamen "fachas"? El PSOE busca la condena del Senado al franquismo el 2O-N  vía @ABCespana</t>
  </si>
  <si>
    <t>https://www.abc.es/espana/abci-psoe-busca-condena-senado-franquismo-2o-n-201811131254_noticia.html#ns_campaign=amp-rrss-inducido&amp;ns_mchannel=abc-es&amp;ns_source=tw&amp;ns_linkname=noticia.foto&amp;ns_fee=0</t>
  </si>
  <si>
    <t>El Puto Jack Twist</t>
  </si>
  <si>
    <t>el perturbador y sexy estrabismo de Santi Abascal</t>
  </si>
  <si>
    <t>Javy Molina</t>
  </si>
  <si>
    <t>Santi Abascal se cree ahora el Quijote de la Mancha. Ha visto este fantoche muchas películas de ficción. #elsalvapatriascampeador</t>
  </si>
  <si>
    <t>Almería, Spain</t>
  </si>
  <si>
    <t>🎧 DJ/radio host ▪independent ▪101%underground | Libertario (A) ✊</t>
  </si>
  <si>
    <t>https://mixcloud.com/klubslang_musik/</t>
  </si>
  <si>
    <t>Miércoles 14 en MURCIA Jueves 15 en SEVILLA Sábado 17 en MÁLAGA La #EspañaViva avanza sin freno. #Murcia #Sevilla #Málaga #VOX</t>
  </si>
  <si>
    <t>https://pbs.twimg.com/media/Dr5V6ehXQAAQOSX.jpg</t>
  </si>
  <si>
    <t>María José S</t>
  </si>
  <si>
    <t>"Santi Abascal flipándose con iniciar otra Reconquista por hacer una ruta de turismo ecuestre de las que te ofrecen si vas de casa rural"</t>
  </si>
  <si>
    <t>https://www.huffingtonpost.es/2018/11/12/asi-es-el-inenarrable-video-de-vox-en-andalucia-y-las-desternillantes-versiones-de-los-tuiteros_a_23587866/</t>
  </si>
  <si>
    <t>SANLUCAR LA MAYOR</t>
  </si>
  <si>
    <t>Soy una chica entusiasta y preocupada por el bienestar social . Soy muy activa y dinamica, me encantan los nuevos retos.</t>
  </si>
  <si>
    <t>El HuffPost</t>
  </si>
  <si>
    <t>▶Facebook http://bit.ly/1sDqXwu ▶Telegram http://bit.ly/1sDriPC ▶Android http://bit.ly/1NcE6TE ▶iOS http://bit.ly/1AokTa1</t>
  </si>
  <si>
    <t>http://www.huffingtonpost.es</t>
  </si>
  <si>
    <t>Mira rufián, yo soy de Amurrio y te digo que en mi pueblo hay pocos señoritos del PNV. Y tú, q eres de origen andaluz, cuando llamas "señoritos" a Morante y su cuadrilla, demuestras una ignorancia total sobre tu propia tierra, sus costumbres y sus gentes. Pregunta en casa, patán RT @gabrielrufian: Así es como los señoritos se paseaban con la vara entre jornaleros. Nos tendréis enfrente. Vayáis de verde o de naranja.</t>
  </si>
  <si>
    <t>Victør Hurtadø</t>
  </si>
  <si>
    <t>Han sacado el muñeco de acción de Santi Abascal de La Reconquista de España de Vox. IMPRESIONANTE.</t>
  </si>
  <si>
    <t>https://pbs.twimg.com/media/Dr5CwRoX0AAqSet.jpg</t>
  </si>
  <si>
    <t>En la mierda.</t>
  </si>
  <si>
    <t>Algo nuevo, algo aún por descubrir, algo dentro de mí, dentro de mí. Cuánto tiempo he perdido ahí afuera, cuánto por descubrir en mi cabeza. DISEÑADOR GRÁFICO.</t>
  </si>
  <si>
    <t>https://Instagram.com/_victor_hurtado/</t>
  </si>
  <si>
    <t>X-Ander🎗</t>
  </si>
  <si>
    <t>Simpatizantes dice la loca!🤣🤣🤣🤣 Y le nombras a Santi Abascal y tiene un orgasmo!🤣🤣🤣🤣 Armas no se si teneis (ke seguro ke si),pero oler a mierda fatxa,eso seguro!🤣🤣🤣🤣🤣 RT @JuanaLaLocaMsL1: Los simpatizantes de Vox tenemos armas, porque Otegi y sus colegas tienen una floristería.</t>
  </si>
  <si>
    <t>https://twitter.com/JuanaLaLocaMsL1/status/1061937043939442688</t>
  </si>
  <si>
    <t>JO ETA KE IRABAZI ARTE!!!★ CANYA AL FATXA!!</t>
  </si>
  <si>
    <t>Cherlotbón Jr.</t>
  </si>
  <si>
    <t>No puedo esperar más para ver a Santi Abascal, Pablo Iglesias y Gabriel Rufián juntos en el Congreso. El templario rociero, el heredero light de Stalin y el hijo tonto de Piqué. Face to face in the hemiciclo. Fight!</t>
  </si>
  <si>
    <t>Guess who's back again.</t>
  </si>
  <si>
    <t>http://www.medium.com/@lorenzovonmatterhornisreal</t>
  </si>
  <si>
    <t>Snuff your Friendly Satanist Neighbour</t>
  </si>
  <si>
    <t>Voy a sacarme la licencia de armas amparado en el miedo que le tengo a Santi Abascal. Cada vez que pienso "No llevo pipa encima", el siguiente pensamiento es "Santi sí".</t>
  </si>
  <si>
    <t>https://pbs.twimg.com/media/Dr4-pAHXQAULmY_.jpg</t>
  </si>
  <si>
    <t>Lavapiés State of Mind</t>
  </si>
  <si>
    <t>My little novelita: https://tinyurl.com/yavzt2lo Satanista moderado, en @podcastat dicen que sólo quiero ver el mundo arder.</t>
  </si>
  <si>
    <t>http://www.ivoox.com/podcast-aguas-turbias_sq_f1132463_1.html</t>
  </si>
  <si>
    <t>Su Notísima Reloaded</t>
  </si>
  <si>
    <t>En VOX gusta mucho el caballo: Santi Abascal lo monta y el que le hace los vídeos se lo inyecta...</t>
  </si>
  <si>
    <t>https://pbs.twimg.com/media/Dr42RyfWkAAmQe3.jpg</t>
  </si>
  <si>
    <t>"Yeah? Well... that´s just like... your opinion, man." Soy rojeras y a mucha honra. Si no te gusta, cómprate un Colajet y vete a darle por culo a otro.</t>
  </si>
  <si>
    <t>Paqui</t>
  </si>
  <si>
    <t>Que grande eres @Santi_ABASCAL no nos defraudes muchos españoles pensamos lo mismo. Si ser facha es defender ESPAÑA, la dignidad de los españoles y la comida de nuestras familias, somos muchos los fachas RT @ElCascabelTRECE: 🔴 “Un país debe tener fronteras y debe tener derecho a regular la inmigración porque hay personas que ven con preocupación cómo las ayudas sociales no les llegan a ellos, sino a quienes entran irregularmente a España”. @Santi_ABASCAL, presidente de @vox_es, en #ElCascabel12N</t>
  </si>
  <si>
    <t>https://twitter.com/ElCascabelTRECE/status/1062107008575397888</t>
  </si>
  <si>
    <t>https://pbs.twimg.com/media/Dr1cr4BXgAIALVU.jpg</t>
  </si>
  <si>
    <t>Que Asco y Vergüenza, #Basura !!! @PSOE @PPopular @ahorapodemos @sanchezcastejon @pablocasado_ @Pablo_Iglesias_ @CiudadanosCs @Albert_Rivera @vox_es @Santi_ABASCAL @PoderJudicialEs @carmencalvo_ #Templarios Martes y 13  … RT @goslum: 'Jodía videoteca. 2014'. Cuando Pedro Sánchez no era presidente. El hombre de las mil caras.</t>
  </si>
  <si>
    <t>https://twitter.com/ElAguijon_/status/1062341594211336193
https://twitter.com/goslum/status/1062307126352248833</t>
  </si>
  <si>
    <t>pic.twitter.com/GlE6niFOnl</t>
  </si>
  <si>
    <t>Que Asco y Vergüenza, #Basura !!! @PSOE @PPopular @ahorapodemos @sanchezcastejon @pablocasado_ @Pablo_Iglesias_ @CiudadanosCs @Albert_Rivera @vox_es @Santi_ABASCAL @PoderJudicialEs @carmencalvo_ #Templarios Martes y 13</t>
  </si>
  <si>
    <t>https://twitter.com/ElAguijon_/status/1062341594211336193</t>
  </si>
  <si>
    <t>RockyhC</t>
  </si>
  <si>
    <t>Ésta es la triste realidad de esta España de progue, buenistas y demás escoria. @zapatayda @trigue28 @vox_es @voxnoticias_es @VOX_Guadalajara @Santi_ABASCAL</t>
  </si>
  <si>
    <t>https://pbs.twimg.com/media/Dr4ysqsX0AA4L38.jpg</t>
  </si>
  <si>
    <t>Sabría Alguien decirme si ha llegado ya @Santi_ABASCAL a lomo de su Caballo a Andalucía!!!</t>
  </si>
  <si>
    <t>pic.twitter.com/Wqbh8JuDnw</t>
  </si>
  <si>
    <t>Moviment Republicà Català</t>
  </si>
  <si>
    <t>RECONQUISTA? DE QUIEN? DE QUÉ? Un Twitter muy desagradable para todo el pueblo andaluz, por no hablar de la total falta de respeto. La Reconquista comenzará en tierras andaluzas, @Santi_ABASCAL 🇪🇸 #AndalucíaPorEspaña</t>
  </si>
  <si>
    <t>https://www.facebook.com/MovimentRepublicaCatala/videos/309668293207018/</t>
  </si>
  <si>
    <t>pic.twitter.com/9rtkTcIfVw</t>
  </si>
  <si>
    <t>Oscar Almagro</t>
  </si>
  <si>
    <t>Es que no entiendo por qué no van de cara, si eres fascista eres fascista tío. Yo no voy haciéndome fotos con cuadros de Franco (creedme que lo tengo muy fácil), ni con Santi Abascal, ni tengo un puto vaso con el pollo (Rufián facts)¿Por qué? Porque no soy fascista RT @Asil_Vestra0: - Oye Willy Toledo, porque no te marchas de España si no te gusta? - Que te calles, fascista - Pero si yo no soy fascista....</t>
  </si>
  <si>
    <t>https://twitter.com/Asil_Vestra0/status/1062306040606347264</t>
  </si>
  <si>
    <t>pic.twitter.com/gbJHYNc7ox</t>
  </si>
  <si>
    <t>Periodismo UCM 📷🎥💻📝 Escribo en http://TheMedizine.com</t>
  </si>
  <si>
    <t>A medida que la casta política iba malgastando el dinero confiscado al ciudadano, y para contentar a los cargos autonómicos, iba inventando nuevos impuestos @Santi_ABASCAL @CasaReal @GeneralDavila @Ortega_Smith @GirautaOficial @monasterioR @pablocasado @carloscuestaEM @ivanedlm</t>
  </si>
  <si>
    <t>Atención @Santi_ABASCAL @pablocasado_ es hora de ir por ellos.. RT @Gregorio4000: Cinco gilipollas abusan de una chica en Pamplona y los tenemos hasta en la sopa. 14 moros sarnosos abusan de una chica y apuñalan al novio en Santa Coloma y lo que toca es no "estigmatizar" a las minorías. Irse todos a tomar por culo.</t>
  </si>
  <si>
    <t>https://twitter.com/Gregorio4000/status/1061939201720139776</t>
  </si>
  <si>
    <t>📺 ¿Es VOX populista? @Santi_ABASCAL lo explica en menos de dos minutos en @ElCascabelTRECE 📲 Entrevista completa</t>
  </si>
  <si>
    <t>Entrevista a @Santi_ABASCAL en @Canal_13tv 12 de noviembre 2018.</t>
  </si>
  <si>
    <t>Vox como siempre dando la cara @Santi_ABASCAL incansable, luchando junto a los trabajadores por sus justos derechos #AndalucíaPorEspaña #AndaluciaVotaVox #VOXUtil #YoVotoVox 🇪🇸🇪🇸🇪🇸🇪🇸 RT @CasoAislado_Es: Los miembros de @Jusapol ya están delante del Congreso para pedir la equiparación salarial. @Santi_ABASCAL, presidente de @vox_es ha acudido a apoyarles. Ha sido recibido al grito de "presidente, presidente".</t>
  </si>
  <si>
    <t>https://twitter.com/CasoAislado_Es/status/1062116965706276864</t>
  </si>
  <si>
    <t>pic.twitter.com/Zmw6oYfxOG</t>
  </si>
  <si>
    <t>Rebel FedⒶikin</t>
  </si>
  <si>
    <t>¿Han salido ya Santi Abascal y Bea Talegón a denunciar la extrema violencia del "Pírate a tomar por el culo, subnormal" de Willy Toledo y a decir que cachondear os de los Borjamaris deslegitima nuestra causa?</t>
  </si>
  <si>
    <t>Biblioteca de Trantor</t>
  </si>
  <si>
    <t>Ciudadano de mal. Solo el pueblo salva al pueblo.</t>
  </si>
  <si>
    <t>Así respondió Santi_ABASCAL en ElCascabelTRECE</t>
  </si>
  <si>
    <t>https://www.esdiario.com/222760053/La-firme-respuesta-de-Abascal-cuando-le-preguntan-en-Trece--si-Vox-es-populista.html</t>
  </si>
  <si>
    <t>JUANDI</t>
  </si>
  <si>
    <t>Santi Abascal "reconquista" Andalucía a caballo y las redes se llenan de memes  vía @elmundoes</t>
  </si>
  <si>
    <t>sonar d tambores son como lamentos, son como el pesar que yo llevo dentro🇪🇸</t>
  </si>
  <si>
    <t>Así respondió @Santi_ABASCAL en @ElCascabelTRECE</t>
  </si>
  <si>
    <t>juani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</si>
</sst>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0">
    <font>
      <sz val="10"/>
      <color rgb="FF000000"/>
      <name val="Arial"/>
    </font>
    <font>
      <sz val="9"/>
      <color rgb="FFFFFFFF"/>
      <name val="Droid Sans"/>
    </font>
    <font>
      <sz val="8"/>
      <color rgb="FFFFFFFF"/>
      <name val="Droid Sans"/>
    </font>
    <font>
      <sz val="8"/>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
      <u/>
      <sz val="8"/>
      <color rgb="FF0000FF"/>
      <name val="Droid Sans"/>
    </font>
  </fonts>
  <fills count="5">
    <fill>
      <patternFill patternType="none"/>
    </fill>
    <fill>
      <patternFill patternType="gray125"/>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164" fontId="2" fillId="4"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4" fontId="3" fillId="0" borderId="0" xfId="0" applyNumberFormat="1" applyFont="1" applyAlignment="1">
      <alignment horizontal="center"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5" fillId="0" borderId="0" xfId="0" applyFont="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7"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xf>
    <xf numFmtId="14" fontId="3" fillId="0" borderId="0" xfId="0" applyNumberFormat="1"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8" fillId="0" borderId="0" xfId="0" applyFont="1" applyAlignment="1">
      <alignment vertical="center"/>
    </xf>
    <xf numFmtId="0" fontId="3" fillId="0" borderId="0" xfId="0" quotePrefix="1" applyFont="1" applyAlignment="1">
      <alignment horizontal="left" vertical="center" wrapText="1"/>
    </xf>
    <xf numFmtId="0" fontId="3" fillId="0" borderId="0" xfId="0" quotePrefix="1" applyFont="1" applyAlignment="1">
      <alignment vertical="center" wrapText="1"/>
    </xf>
    <xf numFmtId="0" fontId="9" fillId="0" borderId="0" xfId="0" applyFont="1" applyAlignment="1">
      <alignment horizontal="left" vertical="center" wrapText="1"/>
    </xf>
    <xf numFmtId="0" fontId="1" fillId="2" borderId="0" xfId="0" applyFont="1" applyFill="1" applyAlignment="1">
      <alignment horizontal="center" vertical="center"/>
    </xf>
    <xf numFmtId="0" fontId="0" fillId="0" borderId="0" xfId="0" applyFont="1" applyAlignment="1"/>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okdiario.com/espana/2018/11/13/zasca-abascal-rufian-llamarle-senorito-andaluz-pregunta-casa-patan-3346680" TargetMode="External"/><Relationship Id="rId1827" Type="http://schemas.openxmlformats.org/officeDocument/2006/relationships/hyperlink" Target="https://pbs.twimg.com/media/Dr9W3f9WkAESdOq.jpg" TargetMode="External"/><Relationship Id="rId21" Type="http://schemas.openxmlformats.org/officeDocument/2006/relationships/hyperlink" Target="https://pbs.twimg.com/media/DsrtpcYX4AApqfe.jpg" TargetMode="External"/><Relationship Id="rId170" Type="http://schemas.openxmlformats.org/officeDocument/2006/relationships/hyperlink" Target="https://twitter.com/dan_aeon/status/1065342194482057221" TargetMode="External"/><Relationship Id="rId268" Type="http://schemas.openxmlformats.org/officeDocument/2006/relationships/hyperlink" Target="https://pbs.twimg.com/media/DYhpIAhW0AMKhHC.jpg" TargetMode="External"/><Relationship Id="rId475" Type="http://schemas.openxmlformats.org/officeDocument/2006/relationships/hyperlink" Target="http://pic.twitter.com/0jcVfN030d" TargetMode="External"/><Relationship Id="rId682" Type="http://schemas.openxmlformats.org/officeDocument/2006/relationships/hyperlink" Target="https://youtu.be/RaSIX4-RPAI" TargetMode="External"/><Relationship Id="rId128" Type="http://schemas.openxmlformats.org/officeDocument/2006/relationships/hyperlink" Target="https://pbs.twimg.com/media/Dsmt7tYWwAATgt5.jpg" TargetMode="External"/><Relationship Id="rId335" Type="http://schemas.openxmlformats.org/officeDocument/2006/relationships/hyperlink" Target="https://pbs.twimg.com/media/DsgxkPGXcAAxpNS.jpg" TargetMode="External"/><Relationship Id="rId542" Type="http://schemas.openxmlformats.org/officeDocument/2006/relationships/hyperlink" Target="http://ddsevilla.info/bi1p_1" TargetMode="External"/><Relationship Id="rId987" Type="http://schemas.openxmlformats.org/officeDocument/2006/relationships/hyperlink" Target="https://www.youtube.com/channel/UClyJN-FNTY4LvrCTQS7_s0A" TargetMode="External"/><Relationship Id="rId1172" Type="http://schemas.openxmlformats.org/officeDocument/2006/relationships/hyperlink" Target="https://pbs.twimg.com/media/DsHpvdgWkAAzUK9.jpg" TargetMode="External"/><Relationship Id="rId2016" Type="http://schemas.openxmlformats.org/officeDocument/2006/relationships/hyperlink" Target="https://www.diaribalear.es/dirigente-actua-vox-amenazada/" TargetMode="External"/><Relationship Id="rId402" Type="http://schemas.openxmlformats.org/officeDocument/2006/relationships/hyperlink" Target="https://twitter.com/ReutersSonyaD/status/1064468533374058496" TargetMode="External"/><Relationship Id="rId847" Type="http://schemas.openxmlformats.org/officeDocument/2006/relationships/hyperlink" Target="https://pbs.twimg.com/media/DsPWi36XcAAfsix.jpg" TargetMode="External"/><Relationship Id="rId1032" Type="http://schemas.openxmlformats.org/officeDocument/2006/relationships/hyperlink" Target="http://www.recasesores.com/" TargetMode="External"/><Relationship Id="rId1477" Type="http://schemas.openxmlformats.org/officeDocument/2006/relationships/hyperlink" Target="http://www.gppopular.es/diputados/ana-belen-vazquez/" TargetMode="External"/><Relationship Id="rId1684" Type="http://schemas.openxmlformats.org/officeDocument/2006/relationships/hyperlink" Target="https://www.asivaespana.com/politica/nuevo-zas-de-santi-abascal-a-gabriel-rufian" TargetMode="External"/><Relationship Id="rId1891" Type="http://schemas.openxmlformats.org/officeDocument/2006/relationships/hyperlink" Target="https://okdiario.com/espana/2018/11/13/zasca-abascal-rufian-llamarle-senorito-andaluz-pregunta-casa-patan-3346680" TargetMode="External"/><Relationship Id="rId707" Type="http://schemas.openxmlformats.org/officeDocument/2006/relationships/hyperlink" Target="http://www.voxespana.es/" TargetMode="External"/><Relationship Id="rId914" Type="http://schemas.openxmlformats.org/officeDocument/2006/relationships/hyperlink" Target="https://pbs.twimg.com/media/DsNxLfDWoAEs4VL.jpg" TargetMode="External"/><Relationship Id="rId1337" Type="http://schemas.openxmlformats.org/officeDocument/2006/relationships/hyperlink" Target="http://www.bitmomentum.com/" TargetMode="External"/><Relationship Id="rId1544" Type="http://schemas.openxmlformats.org/officeDocument/2006/relationships/hyperlink" Target="http://voxcartagena.es/" TargetMode="External"/><Relationship Id="rId1751" Type="http://schemas.openxmlformats.org/officeDocument/2006/relationships/hyperlink" Target="http://pic.twitter.com/By3qQ7S918" TargetMode="External"/><Relationship Id="rId1989" Type="http://schemas.openxmlformats.org/officeDocument/2006/relationships/hyperlink" Target="http://canasporespana.es/" TargetMode="External"/><Relationship Id="rId43" Type="http://schemas.openxmlformats.org/officeDocument/2006/relationships/hyperlink" Target="https://pbs.twimg.com/media/DsrCxkiWwAAG-LT.jpg" TargetMode="External"/><Relationship Id="rId1404" Type="http://schemas.openxmlformats.org/officeDocument/2006/relationships/hyperlink" Target="https://www.eldiario.es/internacional/Theresa-May-Reino-Unido-UE_0_836066656.html" TargetMode="External"/><Relationship Id="rId1611" Type="http://schemas.openxmlformats.org/officeDocument/2006/relationships/hyperlink" Target="https://twitter.com/SER_Murcia/status/1062766449436094466" TargetMode="External"/><Relationship Id="rId1849" Type="http://schemas.openxmlformats.org/officeDocument/2006/relationships/hyperlink" Target="http://www.voxespana.es/" TargetMode="External"/><Relationship Id="rId192" Type="http://schemas.openxmlformats.org/officeDocument/2006/relationships/hyperlink" Target="https://pbs.twimg.com/media/DsjYNpHXQAAacDf.jpg" TargetMode="External"/><Relationship Id="rId1709" Type="http://schemas.openxmlformats.org/officeDocument/2006/relationships/hyperlink" Target="https://pbs.twimg.com/media/Dr_J9kNW4AEbZj0.jpg" TargetMode="External"/><Relationship Id="rId1916" Type="http://schemas.openxmlformats.org/officeDocument/2006/relationships/hyperlink" Target="https://twitter.com/Sacre/status/1062474574242201602" TargetMode="External"/><Relationship Id="rId497" Type="http://schemas.openxmlformats.org/officeDocument/2006/relationships/hyperlink" Target="https://www.elespanol.com/espana/tribunales/20181120/marchena-descarta-presidente-poder-judicial-reivindica-independencia/354714705_0.html" TargetMode="External"/><Relationship Id="rId357" Type="http://schemas.openxmlformats.org/officeDocument/2006/relationships/hyperlink" Target="https://twitter.com/Bcnisnotcat_/status/1064919491598041089" TargetMode="External"/><Relationship Id="rId1194" Type="http://schemas.openxmlformats.org/officeDocument/2006/relationships/hyperlink" Target="https://www.voxespana.es/afiliarse-a-vox" TargetMode="External"/><Relationship Id="rId2038" Type="http://schemas.openxmlformats.org/officeDocument/2006/relationships/hyperlink" Target="http://esradiomurcia.es/" TargetMode="External"/><Relationship Id="rId217" Type="http://schemas.openxmlformats.org/officeDocument/2006/relationships/hyperlink" Target="https://twitter.com/Santi_ABASCAL/status/1065333144205869058" TargetMode="External"/><Relationship Id="rId564" Type="http://schemas.openxmlformats.org/officeDocument/2006/relationships/hyperlink" Target="https://www.instagram.com/dulce_nu/?hl=es" TargetMode="External"/><Relationship Id="rId771" Type="http://schemas.openxmlformats.org/officeDocument/2006/relationships/hyperlink" Target="https://pbs.twimg.com/media/DsS0IpRWsAAUNez.jpg" TargetMode="External"/><Relationship Id="rId869" Type="http://schemas.openxmlformats.org/officeDocument/2006/relationships/hyperlink" Target="http://www.denaes.es/" TargetMode="External"/><Relationship Id="rId1499" Type="http://schemas.openxmlformats.org/officeDocument/2006/relationships/hyperlink" Target="https://www.laopiniondemurcia.es/" TargetMode="External"/><Relationship Id="rId424" Type="http://schemas.openxmlformats.org/officeDocument/2006/relationships/hyperlink" Target="http://www.bitmomentum.com/" TargetMode="External"/><Relationship Id="rId631" Type="http://schemas.openxmlformats.org/officeDocument/2006/relationships/hyperlink" Target="http://pic.twitter.com/rQl8ABWxA2" TargetMode="External"/><Relationship Id="rId729" Type="http://schemas.openxmlformats.org/officeDocument/2006/relationships/hyperlink" Target="http://www.outono.net/elentir/2018/11/18/santiago-abascal-defiende-la-libertad-para-comer-jamon-y-asi-lo-manipulan-algunos/" TargetMode="External"/><Relationship Id="rId1054" Type="http://schemas.openxmlformats.org/officeDocument/2006/relationships/hyperlink" Target="http://www.bitmomentum.com/" TargetMode="External"/><Relationship Id="rId1261" Type="http://schemas.openxmlformats.org/officeDocument/2006/relationships/hyperlink" Target="https://twitter.com/santi_abascal/status/1063066152648228866" TargetMode="External"/><Relationship Id="rId1359" Type="http://schemas.openxmlformats.org/officeDocument/2006/relationships/hyperlink" Target="http://www.bitmomentum.com/" TargetMode="External"/><Relationship Id="rId936" Type="http://schemas.openxmlformats.org/officeDocument/2006/relationships/hyperlink" Target="https://pbs.twimg.com/media/DsNmwS0WsAEn0-J.jpg" TargetMode="External"/><Relationship Id="rId1121" Type="http://schemas.openxmlformats.org/officeDocument/2006/relationships/hyperlink" Target="https://pbs.twimg.com/media/DsIDUeeXcAEdWbU.jpg" TargetMode="External"/><Relationship Id="rId1219" Type="http://schemas.openxmlformats.org/officeDocument/2006/relationships/hyperlink" Target="http://pic.twitter.com/UZCFZnKIoz" TargetMode="External"/><Relationship Id="rId1566" Type="http://schemas.openxmlformats.org/officeDocument/2006/relationships/hyperlink" Target="http://pic.twitter.com/34Izz2F0hS" TargetMode="External"/><Relationship Id="rId1773" Type="http://schemas.openxmlformats.org/officeDocument/2006/relationships/hyperlink" Target="https://www.fpcs.es/una-verdadera-amenaza-para-espana/" TargetMode="External"/><Relationship Id="rId1980" Type="http://schemas.openxmlformats.org/officeDocument/2006/relationships/hyperlink" Target="http://www.bitmomentum.com/" TargetMode="External"/><Relationship Id="rId65" Type="http://schemas.openxmlformats.org/officeDocument/2006/relationships/hyperlink" Target="https://twitter.com/JavierJ67840778/status/1065372962461753350" TargetMode="External"/><Relationship Id="rId1426" Type="http://schemas.openxmlformats.org/officeDocument/2006/relationships/hyperlink" Target="http://pic.twitter.com/1hKMHlGbpI" TargetMode="External"/><Relationship Id="rId1633" Type="http://schemas.openxmlformats.org/officeDocument/2006/relationships/hyperlink" Target="https://www.elcorreodemadrid.com/nacional/3649201/Facha-pardillo-tu-boca-en-el-bordillo-Ortega-Lara-de-vuelta-al-zulo-los-gritos-contra-VOX-en-Murcia-Delito-de-odio.html" TargetMode="External"/><Relationship Id="rId1840" Type="http://schemas.openxmlformats.org/officeDocument/2006/relationships/hyperlink" Target="https://twitter.com/Santi_ABASCAL/status/1060590268435578881" TargetMode="External"/><Relationship Id="rId1700" Type="http://schemas.openxmlformats.org/officeDocument/2006/relationships/hyperlink" Target="https://casoaislado.com/podemitas-muestran-odio-murcia-intentan-agredir-simpatizantes-vox-gritan-ortega-lara-vuelta-al-zulo/" TargetMode="External"/><Relationship Id="rId1938" Type="http://schemas.openxmlformats.org/officeDocument/2006/relationships/hyperlink" Target="http://www.menorca.info/" TargetMode="External"/><Relationship Id="rId281" Type="http://schemas.openxmlformats.org/officeDocument/2006/relationships/hyperlink" Target="https://youtu.be/S8_g6JS2z24" TargetMode="External"/><Relationship Id="rId141" Type="http://schemas.openxmlformats.org/officeDocument/2006/relationships/hyperlink" Target="https://www.elespanol.com/cultura/musica/20181122/ana-belen-vox-llenando-vistalegre-llenado/354965468_0.html" TargetMode="External"/><Relationship Id="rId379" Type="http://schemas.openxmlformats.org/officeDocument/2006/relationships/hyperlink" Target="https://pbs.twimg.com/media/DsexR8VW0AES663.jpg" TargetMode="External"/><Relationship Id="rId586" Type="http://schemas.openxmlformats.org/officeDocument/2006/relationships/hyperlink" Target="https://pbs.twimg.com/media/DsYMiQSXoAA-e87.jpg" TargetMode="External"/><Relationship Id="rId793" Type="http://schemas.openxmlformats.org/officeDocument/2006/relationships/hyperlink" Target="https://pbs.twimg.com/media/DsSR23RWsAI4fZa.jpg" TargetMode="External"/><Relationship Id="rId7" Type="http://schemas.openxmlformats.org/officeDocument/2006/relationships/hyperlink" Target="http://instagram.com/nairdadrian7" TargetMode="External"/><Relationship Id="rId239" Type="http://schemas.openxmlformats.org/officeDocument/2006/relationships/hyperlink" Target="https://pbs.twimg.com/media/DsjRwBEXgAAgYXS.jpg" TargetMode="External"/><Relationship Id="rId446" Type="http://schemas.openxmlformats.org/officeDocument/2006/relationships/hyperlink" Target="https://twitter.com/Santi_ABASCAL/status/1064656631424843776" TargetMode="External"/><Relationship Id="rId653" Type="http://schemas.openxmlformats.org/officeDocument/2006/relationships/hyperlink" Target="https://www.discogs.com/user/OctopusOnFire/collection" TargetMode="External"/><Relationship Id="rId1076" Type="http://schemas.openxmlformats.org/officeDocument/2006/relationships/hyperlink" Target="http://prensasincinicos.blogspot.com/" TargetMode="External"/><Relationship Id="rId1283" Type="http://schemas.openxmlformats.org/officeDocument/2006/relationships/hyperlink" Target="http://cukecito.blogspot.com/" TargetMode="External"/><Relationship Id="rId1490" Type="http://schemas.openxmlformats.org/officeDocument/2006/relationships/hyperlink" Target="https://twitter.com/VOX_Valencia/status/1062822191983661056" TargetMode="External"/><Relationship Id="rId306" Type="http://schemas.openxmlformats.org/officeDocument/2006/relationships/hyperlink" Target="https://twitter.com/OrbitaEduardo/status/1065199177825685504" TargetMode="External"/><Relationship Id="rId860" Type="http://schemas.openxmlformats.org/officeDocument/2006/relationships/hyperlink" Target="http://al.final/" TargetMode="External"/><Relationship Id="rId958" Type="http://schemas.openxmlformats.org/officeDocument/2006/relationships/hyperlink" Target="http://rubensanchez.tw/" TargetMode="External"/><Relationship Id="rId1143" Type="http://schemas.openxmlformats.org/officeDocument/2006/relationships/hyperlink" Target="http://www.tabarnia.es/" TargetMode="External"/><Relationship Id="rId1588" Type="http://schemas.openxmlformats.org/officeDocument/2006/relationships/hyperlink" Target="http://www.bitmomentum.com/" TargetMode="External"/><Relationship Id="rId1795" Type="http://schemas.openxmlformats.org/officeDocument/2006/relationships/hyperlink" Target="https://twitter.com/Jaquesdmolay/status/1062694172040327169" TargetMode="External"/><Relationship Id="rId87" Type="http://schemas.openxmlformats.org/officeDocument/2006/relationships/hyperlink" Target="https://www.booking.com/s/44_6/etxmen82" TargetMode="External"/><Relationship Id="rId513" Type="http://schemas.openxmlformats.org/officeDocument/2006/relationships/hyperlink" Target="http://www.aloeforever.info/" TargetMode="External"/><Relationship Id="rId720" Type="http://schemas.openxmlformats.org/officeDocument/2006/relationships/hyperlink" Target="https://pbs.twimg.com/media/DsTjoDnWwAkgtrx.jpg" TargetMode="External"/><Relationship Id="rId818" Type="http://schemas.openxmlformats.org/officeDocument/2006/relationships/hyperlink" Target="http://librodenotas.com/losanalesperdidos/" TargetMode="External"/><Relationship Id="rId1350" Type="http://schemas.openxmlformats.org/officeDocument/2006/relationships/hyperlink" Target="https://twitter.com/danicaballero90/status/1063022412093120512" TargetMode="External"/><Relationship Id="rId1448" Type="http://schemas.openxmlformats.org/officeDocument/2006/relationships/hyperlink" Target="https://pbs.twimg.com/media/DsDRXU9X0AI46DB.jpg" TargetMode="External"/><Relationship Id="rId1655" Type="http://schemas.openxmlformats.org/officeDocument/2006/relationships/hyperlink" Target="https://www.youtube.com/channel/UCzAeV22GnQxwUBokDOEyb4A" TargetMode="External"/><Relationship Id="rId1003" Type="http://schemas.openxmlformats.org/officeDocument/2006/relationships/hyperlink" Target="https://pbs.twimg.com/media/DsMUPzxXQAALhuA.jpg" TargetMode="External"/><Relationship Id="rId1210" Type="http://schemas.openxmlformats.org/officeDocument/2006/relationships/hyperlink" Target="https://pbs.twimg.com/media/DsHE6m2WsAAvWIK.jpg" TargetMode="External"/><Relationship Id="rId1308" Type="http://schemas.openxmlformats.org/officeDocument/2006/relationships/hyperlink" Target="http://pic.twitter.com/iSuzJneP4Y" TargetMode="External"/><Relationship Id="rId1862" Type="http://schemas.openxmlformats.org/officeDocument/2006/relationships/hyperlink" Target="https://okdiario.com/espana/2018/11/13/zasca-abascal-rufian-llamarle-senorito-andaluz-pregunta-casa-patan-3346680/amp" TargetMode="External"/><Relationship Id="rId1515" Type="http://schemas.openxmlformats.org/officeDocument/2006/relationships/hyperlink" Target="http://laboratorio-mabuse.blogspot.com/" TargetMode="External"/><Relationship Id="rId1722" Type="http://schemas.openxmlformats.org/officeDocument/2006/relationships/hyperlink" Target="http://www.voxespana.es/alicante" TargetMode="External"/><Relationship Id="rId14" Type="http://schemas.openxmlformats.org/officeDocument/2006/relationships/hyperlink" Target="http://pic.twitter.com/lXFEKxTnVf" TargetMode="External"/><Relationship Id="rId163" Type="http://schemas.openxmlformats.org/officeDocument/2006/relationships/hyperlink" Target="https://youtu.be/Q8B3HR_0YzE" TargetMode="External"/><Relationship Id="rId370" Type="http://schemas.openxmlformats.org/officeDocument/2006/relationships/hyperlink" Target="http://pic.twitter.com/TMzrcZfQLu" TargetMode="External"/><Relationship Id="rId2051" Type="http://schemas.openxmlformats.org/officeDocument/2006/relationships/hyperlink" Target="http://pic.twitter.com/GlE6niFOnl" TargetMode="External"/><Relationship Id="rId230" Type="http://schemas.openxmlformats.org/officeDocument/2006/relationships/hyperlink" Target="https://twitter.com/javiernegre10/status/1065327455555252224" TargetMode="External"/><Relationship Id="rId468" Type="http://schemas.openxmlformats.org/officeDocument/2006/relationships/hyperlink" Target="https://twitter.com/Albert_Rivera/status/1064605981341114371" TargetMode="External"/><Relationship Id="rId675" Type="http://schemas.openxmlformats.org/officeDocument/2006/relationships/hyperlink" Target="https://twitter.com/victoriah991/status/1064281941640470534" TargetMode="External"/><Relationship Id="rId882" Type="http://schemas.openxmlformats.org/officeDocument/2006/relationships/hyperlink" Target="https://www.sevillainfo.es/noticias-de-opinion/no-me-callo/" TargetMode="External"/><Relationship Id="rId1098" Type="http://schemas.openxmlformats.org/officeDocument/2006/relationships/hyperlink" Target="https://pbs.twimg.com/media/DsIzTXsXoAA593S.jpg" TargetMode="External"/><Relationship Id="rId328" Type="http://schemas.openxmlformats.org/officeDocument/2006/relationships/hyperlink" Target="https://pbs.twimg.com/media/Dseb3ywUUAA7Nkc.jpg" TargetMode="External"/><Relationship Id="rId535" Type="http://schemas.openxmlformats.org/officeDocument/2006/relationships/hyperlink" Target="http://huelvai.info/abn_01" TargetMode="External"/><Relationship Id="rId742" Type="http://schemas.openxmlformats.org/officeDocument/2006/relationships/hyperlink" Target="https://pbs.twimg.com/media/DsTiT6gXoAQLORG.jpg" TargetMode="External"/><Relationship Id="rId1165" Type="http://schemas.openxmlformats.org/officeDocument/2006/relationships/hyperlink" Target="http://play.abc.es/hr7wc2" TargetMode="External"/><Relationship Id="rId1372" Type="http://schemas.openxmlformats.org/officeDocument/2006/relationships/hyperlink" Target="https://pbs.twimg.com/media/DsEFu5wWsAEU6H-.jpg" TargetMode="External"/><Relationship Id="rId2009" Type="http://schemas.openxmlformats.org/officeDocument/2006/relationships/hyperlink" Target="https://www.huffingtonpost.es/2018/11/12/asi-es-el-inenarrable-video-de-vox-en-andalucia-y-las-desternillantes-versiones-de-los-tuiteros_a_23587866/" TargetMode="External"/><Relationship Id="rId602" Type="http://schemas.openxmlformats.org/officeDocument/2006/relationships/hyperlink" Target="http://pic.twitter.com/zVnc1udDrc" TargetMode="External"/><Relationship Id="rId1025" Type="http://schemas.openxmlformats.org/officeDocument/2006/relationships/hyperlink" Target="https://twitter.com/cruzdelsurce" TargetMode="External"/><Relationship Id="rId1232" Type="http://schemas.openxmlformats.org/officeDocument/2006/relationships/hyperlink" Target="http://pic.twitter.com/GGc9Prl8te" TargetMode="External"/><Relationship Id="rId1677" Type="http://schemas.openxmlformats.org/officeDocument/2006/relationships/hyperlink" Target="https://es.linkedin.com/in/cristianbuendiavidal" TargetMode="External"/><Relationship Id="rId1884" Type="http://schemas.openxmlformats.org/officeDocument/2006/relationships/hyperlink" Target="http://www.bitmomentum.com/" TargetMode="External"/><Relationship Id="rId907" Type="http://schemas.openxmlformats.org/officeDocument/2006/relationships/hyperlink" Target="http://pic.twitter.com/ujpS37WgRp" TargetMode="External"/><Relationship Id="rId1537" Type="http://schemas.openxmlformats.org/officeDocument/2006/relationships/hyperlink" Target="http://www.bitmomentum.com/" TargetMode="External"/><Relationship Id="rId1744" Type="http://schemas.openxmlformats.org/officeDocument/2006/relationships/hyperlink" Target="https://twitter.com/David_Churruca/status/1062764006220484608" TargetMode="External"/><Relationship Id="rId1951" Type="http://schemas.openxmlformats.org/officeDocument/2006/relationships/hyperlink" Target="https://pbs.twimg.com/media/Dr6T6DhXQAAMW7y.jpg" TargetMode="External"/><Relationship Id="rId36" Type="http://schemas.openxmlformats.org/officeDocument/2006/relationships/hyperlink" Target="http://istoricon.blogspot.com/" TargetMode="External"/><Relationship Id="rId1604" Type="http://schemas.openxmlformats.org/officeDocument/2006/relationships/hyperlink" Target="https://pbs.twimg.com/media/Dr_9PeXW4AAr72n.jpg" TargetMode="External"/><Relationship Id="rId185" Type="http://schemas.openxmlformats.org/officeDocument/2006/relationships/hyperlink" Target="http://www.bitmomentum.com/" TargetMode="External"/><Relationship Id="rId1811" Type="http://schemas.openxmlformats.org/officeDocument/2006/relationships/hyperlink" Target="https://pbs.twimg.com/media/Dr9m8gLWwAcr--m.jpg" TargetMode="External"/><Relationship Id="rId1909" Type="http://schemas.openxmlformats.org/officeDocument/2006/relationships/hyperlink" Target="http://elperiodi.co/wa64l1" TargetMode="External"/><Relationship Id="rId392" Type="http://schemas.openxmlformats.org/officeDocument/2006/relationships/hyperlink" Target="https://twitter.com/vox_es/status/1064966157189435392" TargetMode="External"/><Relationship Id="rId697" Type="http://schemas.openxmlformats.org/officeDocument/2006/relationships/hyperlink" Target="http://pic.twitter.com/nJImpRBR7C" TargetMode="External"/><Relationship Id="rId2073" Type="http://schemas.openxmlformats.org/officeDocument/2006/relationships/hyperlink" Target="http://www.esdiario.com/" TargetMode="External"/><Relationship Id="rId252" Type="http://schemas.openxmlformats.org/officeDocument/2006/relationships/hyperlink" Target="https://pbs.twimg.com/media/DsjB4nUXcAIz-W5.jpg" TargetMode="External"/><Relationship Id="rId1187" Type="http://schemas.openxmlformats.org/officeDocument/2006/relationships/hyperlink" Target="http://www.bitmomentum.com/" TargetMode="External"/><Relationship Id="rId112" Type="http://schemas.openxmlformats.org/officeDocument/2006/relationships/hyperlink" Target="https://www.facebook.com/173922073298195/videos/199989814024754/?t=27" TargetMode="External"/><Relationship Id="rId557" Type="http://schemas.openxmlformats.org/officeDocument/2006/relationships/hyperlink" Target="http://www.canal33.info/" TargetMode="External"/><Relationship Id="rId764" Type="http://schemas.openxmlformats.org/officeDocument/2006/relationships/hyperlink" Target="https://www.elindependiente.com/politica/2018/11/16/unos-350-jovenes-participan-en-un-encuentro-abierto-con-preguntas-al-lider-de-vox-santiago-abascal-en-un-acto-en-sevilla/?utm_source=share_buttons&amp;utm_medium=twitter&amp;utm_campaign=social_share" TargetMode="External"/><Relationship Id="rId971" Type="http://schemas.openxmlformats.org/officeDocument/2006/relationships/hyperlink" Target="https://pbs.twimg.com/media/DsM2LpXWsAAOE9N.jpg" TargetMode="External"/><Relationship Id="rId1394" Type="http://schemas.openxmlformats.org/officeDocument/2006/relationships/hyperlink" Target="https://www.voxespana.es/" TargetMode="External"/><Relationship Id="rId1699" Type="http://schemas.openxmlformats.org/officeDocument/2006/relationships/hyperlink" Target="http://www.casoaislado.com/" TargetMode="External"/><Relationship Id="rId2000" Type="http://schemas.openxmlformats.org/officeDocument/2006/relationships/hyperlink" Target="https://www.libremercado.com/2018-11-13/no-solo-es-el-impuesto-el-congreso-obligara-a-la-banca-a-pagar-todos-los-gastos-de-las-hipotecas-1276628166/" TargetMode="External"/><Relationship Id="rId417" Type="http://schemas.openxmlformats.org/officeDocument/2006/relationships/hyperlink" Target="https://okdiario.com/espana/2018/11/20/sanchez-gasta-cerca-millon-euros-poner-punto-luz-calefaccion-moncloa-3372360?utm_campaign=ok&amp;utm_medium=Social&amp;utm_source=Facebook" TargetMode="External"/><Relationship Id="rId624" Type="http://schemas.openxmlformats.org/officeDocument/2006/relationships/hyperlink" Target="http://www.portaldecadiz.com/" TargetMode="External"/><Relationship Id="rId831" Type="http://schemas.openxmlformats.org/officeDocument/2006/relationships/hyperlink" Target="https://twitter.com/Dzhugashvili75/status/1063028963231129601" TargetMode="External"/><Relationship Id="rId1047" Type="http://schemas.openxmlformats.org/officeDocument/2006/relationships/hyperlink" Target="https://twitter.com/iarsuaga/status/1063511152297168898" TargetMode="External"/><Relationship Id="rId1254" Type="http://schemas.openxmlformats.org/officeDocument/2006/relationships/hyperlink" Target="https://youtu.be/SbOfqDlIUpU" TargetMode="External"/><Relationship Id="rId1461" Type="http://schemas.openxmlformats.org/officeDocument/2006/relationships/hyperlink" Target="http://pic.twitter.com/iSuzJneP4Y" TargetMode="External"/><Relationship Id="rId929" Type="http://schemas.openxmlformats.org/officeDocument/2006/relationships/hyperlink" Target="http://rumbolibertad.org/" TargetMode="External"/><Relationship Id="rId1114" Type="http://schemas.openxmlformats.org/officeDocument/2006/relationships/hyperlink" Target="http://pic.twitter.com/f10vmR9x4o" TargetMode="External"/><Relationship Id="rId1321" Type="http://schemas.openxmlformats.org/officeDocument/2006/relationships/hyperlink" Target="https://pbs.twimg.com/media/DsEkr2IWoAExSwf.jpg" TargetMode="External"/><Relationship Id="rId1559" Type="http://schemas.openxmlformats.org/officeDocument/2006/relationships/hyperlink" Target="http://pic.twitter.com/LFtbQf0446" TargetMode="External"/><Relationship Id="rId1766" Type="http://schemas.openxmlformats.org/officeDocument/2006/relationships/hyperlink" Target="https://twitter.com/vox_cartagena/status/1057021466066280449" TargetMode="External"/><Relationship Id="rId1973" Type="http://schemas.openxmlformats.org/officeDocument/2006/relationships/hyperlink" Target="https://youtu.be/E1LvoYx_q7Y" TargetMode="External"/><Relationship Id="rId58" Type="http://schemas.openxmlformats.org/officeDocument/2006/relationships/hyperlink" Target="https://pbs.twimg.com/media/DspHbgwXQAEQSa5.jpg" TargetMode="External"/><Relationship Id="rId1419" Type="http://schemas.openxmlformats.org/officeDocument/2006/relationships/hyperlink" Target="http://www.bitmomentum.com/" TargetMode="External"/><Relationship Id="rId1626" Type="http://schemas.openxmlformats.org/officeDocument/2006/relationships/hyperlink" Target="http://www.bitmomentum.com/" TargetMode="External"/><Relationship Id="rId1833" Type="http://schemas.openxmlformats.org/officeDocument/2006/relationships/hyperlink" Target="http://www.voxespana.es/" TargetMode="External"/><Relationship Id="rId1900" Type="http://schemas.openxmlformats.org/officeDocument/2006/relationships/hyperlink" Target="http://www.bitmomentum.com/" TargetMode="External"/><Relationship Id="rId274" Type="http://schemas.openxmlformats.org/officeDocument/2006/relationships/hyperlink" Target="https://pbs.twimg.com/media/Dsia6d-WsAAn8WU.jpg" TargetMode="External"/><Relationship Id="rId481" Type="http://schemas.openxmlformats.org/officeDocument/2006/relationships/hyperlink" Target="http://pic.twitter.com/PLLl6i2Qma" TargetMode="External"/><Relationship Id="rId134" Type="http://schemas.openxmlformats.org/officeDocument/2006/relationships/hyperlink" Target="http://www.ikusle.com/exclusiva-vox-superaria-3-votos-araba-obtendria-juntero-diputado/" TargetMode="External"/><Relationship Id="rId579" Type="http://schemas.openxmlformats.org/officeDocument/2006/relationships/hyperlink" Target="http://pic.twitter.com/rQl8ABWxA2" TargetMode="External"/><Relationship Id="rId786" Type="http://schemas.openxmlformats.org/officeDocument/2006/relationships/hyperlink" Target="https://youtu.be/RaSIX4-RPAI" TargetMode="External"/><Relationship Id="rId993" Type="http://schemas.openxmlformats.org/officeDocument/2006/relationships/hyperlink" Target="https://twitter.com/vox_es/status/1063470773728407552" TargetMode="External"/><Relationship Id="rId341" Type="http://schemas.openxmlformats.org/officeDocument/2006/relationships/hyperlink" Target="https://twitter.com/trendinaliaES/timelines/1065124721098801152" TargetMode="External"/><Relationship Id="rId439" Type="http://schemas.openxmlformats.org/officeDocument/2006/relationships/hyperlink" Target="http://www.bitmomentum.com/" TargetMode="External"/><Relationship Id="rId646" Type="http://schemas.openxmlformats.org/officeDocument/2006/relationships/hyperlink" Target="https://www.elindependiente.com/politica/2018/11/19/el-pp-a-hace-frente-a-vox-entendemos-que-quieras-votarle-pero-solo-ayuda-a-susana/?utm_source=share_buttons&amp;utm_medium=twitter&amp;utm_campaign=social_share2" TargetMode="External"/><Relationship Id="rId1069" Type="http://schemas.openxmlformats.org/officeDocument/2006/relationships/hyperlink" Target="http://canasporespana.es/" TargetMode="External"/><Relationship Id="rId1276" Type="http://schemas.openxmlformats.org/officeDocument/2006/relationships/hyperlink" Target="https://www.periodistadigital.com/periodismo/tv/2018/11/15/abascal-estalla-y-emite-un-demoledor-video-contra-ferreras-y-la-manipulacion-de-lasexta.shtml" TargetMode="External"/><Relationship Id="rId1483" Type="http://schemas.openxmlformats.org/officeDocument/2006/relationships/hyperlink" Target="https://twitter.com/Rogelioalcubo/status/1062833367429853184" TargetMode="External"/><Relationship Id="rId2022" Type="http://schemas.openxmlformats.org/officeDocument/2006/relationships/hyperlink" Target="https://twitter.com/grancocolio/status/1062343204908027904" TargetMode="External"/><Relationship Id="rId201" Type="http://schemas.openxmlformats.org/officeDocument/2006/relationships/hyperlink" Target="https://pbs.twimg.com/media/DsjtSeFXQAEROuJ.jpg" TargetMode="External"/><Relationship Id="rId506" Type="http://schemas.openxmlformats.org/officeDocument/2006/relationships/hyperlink" Target="http://pic.twitter.com/LDaer8Olym" TargetMode="External"/><Relationship Id="rId853" Type="http://schemas.openxmlformats.org/officeDocument/2006/relationships/hyperlink" Target="https://www.instagram.com/p/BqSj5B4AA69/?utm_source=ig_share_sheet&amp;igshid=4mc7okt9iz8n" TargetMode="External"/><Relationship Id="rId1136" Type="http://schemas.openxmlformats.org/officeDocument/2006/relationships/hyperlink" Target="https://twitter.com/arcovi1/status/1063411934232539136" TargetMode="External"/><Relationship Id="rId1690" Type="http://schemas.openxmlformats.org/officeDocument/2006/relationships/hyperlink" Target="https://pbs.twimg.com/media/Dr_ShLvX4AERmev.jpg" TargetMode="External"/><Relationship Id="rId1788" Type="http://schemas.openxmlformats.org/officeDocument/2006/relationships/hyperlink" Target="http://diario16.com/abascal/" TargetMode="External"/><Relationship Id="rId1995" Type="http://schemas.openxmlformats.org/officeDocument/2006/relationships/hyperlink" Target="http://pic.twitter.com/6HgW73tbDL" TargetMode="External"/><Relationship Id="rId713" Type="http://schemas.openxmlformats.org/officeDocument/2006/relationships/hyperlink" Target="https://twitter.com/Nadie43778371/status/1064054459536412672" TargetMode="External"/><Relationship Id="rId920" Type="http://schemas.openxmlformats.org/officeDocument/2006/relationships/hyperlink" Target="https://www.diariosur.es/elecciones/andaluzas/reprocha-inutilidad-desalojar-20181117155901-nt.html" TargetMode="External"/><Relationship Id="rId1343" Type="http://schemas.openxmlformats.org/officeDocument/2006/relationships/hyperlink" Target="https://www.periodistadigital.com/periodismo/tv/2018/11/15/abascal-estalla-y-emite-un-demoledor-video-contra-ferreras-y-la-manipulacion-de-lasexta.shtml" TargetMode="External"/><Relationship Id="rId1550" Type="http://schemas.openxmlformats.org/officeDocument/2006/relationships/hyperlink" Target="https://pbs.twimg.com/media/DsBrRyiX4AA_3NS.jpg" TargetMode="External"/><Relationship Id="rId1648" Type="http://schemas.openxmlformats.org/officeDocument/2006/relationships/hyperlink" Target="https://twitter.com/pedrootamendi/status/1062774373705224193" TargetMode="External"/><Relationship Id="rId1203" Type="http://schemas.openxmlformats.org/officeDocument/2006/relationships/hyperlink" Target="http://infovaticana.com/" TargetMode="External"/><Relationship Id="rId1410" Type="http://schemas.openxmlformats.org/officeDocument/2006/relationships/hyperlink" Target="https://www.diaribalear.es/con-mas-razon-que-un-santo-emociones-espanolas/" TargetMode="External"/><Relationship Id="rId1508" Type="http://schemas.openxmlformats.org/officeDocument/2006/relationships/hyperlink" Target="https://www.laopiniondemurcia.es/" TargetMode="External"/><Relationship Id="rId1855" Type="http://schemas.openxmlformats.org/officeDocument/2006/relationships/hyperlink" Target="http://www.bitmomentum.com/" TargetMode="External"/><Relationship Id="rId1715" Type="http://schemas.openxmlformats.org/officeDocument/2006/relationships/hyperlink" Target="http://pic.twitter.com/wYJybwJPpq" TargetMode="External"/><Relationship Id="rId1922" Type="http://schemas.openxmlformats.org/officeDocument/2006/relationships/hyperlink" Target="http://pic.twitter.com/ArFjMnNyuc" TargetMode="External"/><Relationship Id="rId296" Type="http://schemas.openxmlformats.org/officeDocument/2006/relationships/hyperlink" Target="https://youtu.be/sUPc45MeeKU" TargetMode="External"/><Relationship Id="rId156" Type="http://schemas.openxmlformats.org/officeDocument/2006/relationships/hyperlink" Target="http://www.bitmomentum.com/" TargetMode="External"/><Relationship Id="rId363" Type="http://schemas.openxmlformats.org/officeDocument/2006/relationships/hyperlink" Target="https://pbs.twimg.com/media/DsfFgi_XQAAica3.jpg" TargetMode="External"/><Relationship Id="rId570" Type="http://schemas.openxmlformats.org/officeDocument/2006/relationships/hyperlink" Target="http://www.voxespana.es/cadiz" TargetMode="External"/><Relationship Id="rId2044" Type="http://schemas.openxmlformats.org/officeDocument/2006/relationships/hyperlink" Target="https://delmoraloblog.wordpress.com/" TargetMode="External"/><Relationship Id="rId223" Type="http://schemas.openxmlformats.org/officeDocument/2006/relationships/hyperlink" Target="http://castipasionporlafotografia.blogspot.com/" TargetMode="External"/><Relationship Id="rId430" Type="http://schemas.openxmlformats.org/officeDocument/2006/relationships/hyperlink" Target="http://eldebate.es/" TargetMode="External"/><Relationship Id="rId668" Type="http://schemas.openxmlformats.org/officeDocument/2006/relationships/hyperlink" Target="https://www.lasprovincias.es/politica/factura-catalanismo-consell-valencia-20181118224352-nt.html" TargetMode="External"/><Relationship Id="rId875" Type="http://schemas.openxmlformats.org/officeDocument/2006/relationships/hyperlink" Target="http://pic.twitter.com/b3VGzjEklH" TargetMode="External"/><Relationship Id="rId1060" Type="http://schemas.openxmlformats.org/officeDocument/2006/relationships/hyperlink" Target="https://twitter.com/Santi_ABASCAL/status/1063069836908134402" TargetMode="External"/><Relationship Id="rId1298" Type="http://schemas.openxmlformats.org/officeDocument/2006/relationships/hyperlink" Target="https://twitter.com/FSerranoCastro/status/1063176977258086400" TargetMode="External"/><Relationship Id="rId528" Type="http://schemas.openxmlformats.org/officeDocument/2006/relationships/hyperlink" Target="http://www.granadahoy.com/" TargetMode="External"/><Relationship Id="rId735" Type="http://schemas.openxmlformats.org/officeDocument/2006/relationships/hyperlink" Target="https://www.youtube.com/channel/UC4pLa55R6EOOyyfUaZ3eenQ" TargetMode="External"/><Relationship Id="rId942" Type="http://schemas.openxmlformats.org/officeDocument/2006/relationships/hyperlink" Target="http://pic.twitter.com/nCnFiXaejE" TargetMode="External"/><Relationship Id="rId1158" Type="http://schemas.openxmlformats.org/officeDocument/2006/relationships/hyperlink" Target="http://pic.twitter.com/RPRAaUNL6w" TargetMode="External"/><Relationship Id="rId1365" Type="http://schemas.openxmlformats.org/officeDocument/2006/relationships/hyperlink" Target="http://canasporespana.es/" TargetMode="External"/><Relationship Id="rId1572" Type="http://schemas.openxmlformats.org/officeDocument/2006/relationships/hyperlink" Target="http://www.bitmomentum.com/" TargetMode="External"/><Relationship Id="rId1018" Type="http://schemas.openxmlformats.org/officeDocument/2006/relationships/hyperlink" Target="https://twitter.com/santi_abascal/status/1063237725107695616" TargetMode="External"/><Relationship Id="rId1225" Type="http://schemas.openxmlformats.org/officeDocument/2006/relationships/hyperlink" Target="http://www.voxespana.es/" TargetMode="External"/><Relationship Id="rId1432" Type="http://schemas.openxmlformats.org/officeDocument/2006/relationships/hyperlink" Target="http://www.enclavehispana.es/" TargetMode="External"/><Relationship Id="rId1877" Type="http://schemas.openxmlformats.org/officeDocument/2006/relationships/hyperlink" Target="http://www.voxespana.es/" TargetMode="External"/><Relationship Id="rId71" Type="http://schemas.openxmlformats.org/officeDocument/2006/relationships/hyperlink" Target="https://pbs.twimg.com/media/DsooVf-VYAEygAz.jpg" TargetMode="External"/><Relationship Id="rId802" Type="http://schemas.openxmlformats.org/officeDocument/2006/relationships/hyperlink" Target="https://www.elconfidencial.com/espana/2018-11-18/embajadas-catalanas-diplocat-auge-proces-borrell_1651462/?utm_source=whatsapp&amp;utm_medium=social&amp;utm_campaign=amp" TargetMode="External"/><Relationship Id="rId1737" Type="http://schemas.openxmlformats.org/officeDocument/2006/relationships/hyperlink" Target="https://youtu.be/7suPRPfkqIE" TargetMode="External"/><Relationship Id="rId1944" Type="http://schemas.openxmlformats.org/officeDocument/2006/relationships/hyperlink" Target="https://pbs.twimg.com/media/Dr6YZWoX0AAlaBG.jpg" TargetMode="External"/><Relationship Id="rId29" Type="http://schemas.openxmlformats.org/officeDocument/2006/relationships/hyperlink" Target="https://youtu.be/RaSIX4-RPAI" TargetMode="External"/><Relationship Id="rId178" Type="http://schemas.openxmlformats.org/officeDocument/2006/relationships/hyperlink" Target="http://parasomnias.blogspot.com/" TargetMode="External"/><Relationship Id="rId1804" Type="http://schemas.openxmlformats.org/officeDocument/2006/relationships/hyperlink" Target="http://www.salvaros.com/" TargetMode="External"/><Relationship Id="rId385" Type="http://schemas.openxmlformats.org/officeDocument/2006/relationships/hyperlink" Target="http://pic.twitter.com/TMzrcZfQLu" TargetMode="External"/><Relationship Id="rId592" Type="http://schemas.openxmlformats.org/officeDocument/2006/relationships/hyperlink" Target="https://pbs.twimg.com/media/DsWzC-mX4AAd2SO.jpg" TargetMode="External"/><Relationship Id="rId2066" Type="http://schemas.openxmlformats.org/officeDocument/2006/relationships/hyperlink" Target="http://pic.twitter.com/Zmw6oYfxOG" TargetMode="External"/><Relationship Id="rId245" Type="http://schemas.openxmlformats.org/officeDocument/2006/relationships/hyperlink" Target="https://www.voxespana.es/albacete" TargetMode="External"/><Relationship Id="rId452" Type="http://schemas.openxmlformats.org/officeDocument/2006/relationships/hyperlink" Target="http://www.elcorreodemadrid.com/" TargetMode="External"/><Relationship Id="rId897" Type="http://schemas.openxmlformats.org/officeDocument/2006/relationships/hyperlink" Target="https://pbs.twimg.com/media/DsOAYeeX4AEYmdq.jpg" TargetMode="External"/><Relationship Id="rId1082" Type="http://schemas.openxmlformats.org/officeDocument/2006/relationships/hyperlink" Target="https://pbs.twimg.com/media/DsJXXhOXcAA-9O4.jpg" TargetMode="External"/><Relationship Id="rId105" Type="http://schemas.openxmlformats.org/officeDocument/2006/relationships/hyperlink" Target="https://www.elmundo.es/espana/2018/11/22/5bf6a067e5fdea356f8b4633.html" TargetMode="External"/><Relationship Id="rId312" Type="http://schemas.openxmlformats.org/officeDocument/2006/relationships/hyperlink" Target="https://twitter.com/ZacEfron/status/1064991224044707841" TargetMode="External"/><Relationship Id="rId757" Type="http://schemas.openxmlformats.org/officeDocument/2006/relationships/hyperlink" Target="https://twitter.com/santi_abascal/status/1063817852459847680" TargetMode="External"/><Relationship Id="rId964" Type="http://schemas.openxmlformats.org/officeDocument/2006/relationships/hyperlink" Target="http://pic.twitter.com/BjFTk3Yt90" TargetMode="External"/><Relationship Id="rId1387" Type="http://schemas.openxmlformats.org/officeDocument/2006/relationships/hyperlink" Target="https://twitter.com/Santi_ABASCAL/status/1063066152648228866" TargetMode="External"/><Relationship Id="rId1594" Type="http://schemas.openxmlformats.org/officeDocument/2006/relationships/hyperlink" Target="https://conmdemaca.blogspot.com/" TargetMode="External"/><Relationship Id="rId93" Type="http://schemas.openxmlformats.org/officeDocument/2006/relationships/hyperlink" Target="http://pic.twitter.com/y4PH3OPMYD" TargetMode="External"/><Relationship Id="rId617" Type="http://schemas.openxmlformats.org/officeDocument/2006/relationships/hyperlink" Target="https://www.elindependiente.com/politica/2018/11/19/el-pp-a-hace-frente-a-vox-entendemos-que-quieras-votarle-pero-solo-ayuda-a-susana/?utm_source=share_buttons&amp;utm_medium=twitter&amp;utm_campaign=social_share2" TargetMode="External"/><Relationship Id="rId824" Type="http://schemas.openxmlformats.org/officeDocument/2006/relationships/hyperlink" Target="https://m.facebook.com/?_rdr" TargetMode="External"/><Relationship Id="rId1247" Type="http://schemas.openxmlformats.org/officeDocument/2006/relationships/hyperlink" Target="http://www.bitmomentum.com/" TargetMode="External"/><Relationship Id="rId1454" Type="http://schemas.openxmlformats.org/officeDocument/2006/relationships/hyperlink" Target="https://twitter.com/Santi_ABASCAL/status/1063069836908134402" TargetMode="External"/><Relationship Id="rId1661" Type="http://schemas.openxmlformats.org/officeDocument/2006/relationships/hyperlink" Target="https://pbs.twimg.com/media/Dr_iCsiWsAAPCwU.jpg" TargetMode="External"/><Relationship Id="rId1899" Type="http://schemas.openxmlformats.org/officeDocument/2006/relationships/hyperlink" Target="http://www.bitmomentum.com/" TargetMode="External"/><Relationship Id="rId1107" Type="http://schemas.openxmlformats.org/officeDocument/2006/relationships/hyperlink" Target="http://pic.twitter.com/ohchT6OOtO" TargetMode="External"/><Relationship Id="rId1314" Type="http://schemas.openxmlformats.org/officeDocument/2006/relationships/hyperlink" Target="https://www.periodistadigital.com/periodismo/tv/2018/11/15/abascal-estalla-y-emite-un-demoledor-video-contra-ferreras-y-la-manipulacion-de-lasexta.shtml" TargetMode="External"/><Relationship Id="rId1521" Type="http://schemas.openxmlformats.org/officeDocument/2006/relationships/hyperlink" Target="http://www.bitmomentum.com/" TargetMode="External"/><Relationship Id="rId1759" Type="http://schemas.openxmlformats.org/officeDocument/2006/relationships/hyperlink" Target="https://fanfataldotcom.wordpress.com/" TargetMode="External"/><Relationship Id="rId1966" Type="http://schemas.openxmlformats.org/officeDocument/2006/relationships/hyperlink" Target="http://pic.twitter.com/XxFoCycRoM" TargetMode="External"/><Relationship Id="rId1619" Type="http://schemas.openxmlformats.org/officeDocument/2006/relationships/hyperlink" Target="http://www.voxespana.es/" TargetMode="External"/><Relationship Id="rId1826" Type="http://schemas.openxmlformats.org/officeDocument/2006/relationships/hyperlink" Target="http://www.outono.net/elentir/2018/11/12/las-dos-trampas-que-le-hizo-cristina-lopez-schlichting-a-santiago-abascal-en-la-cope/" TargetMode="External"/><Relationship Id="rId20" Type="http://schemas.openxmlformats.org/officeDocument/2006/relationships/hyperlink" Target="http://www.voxespa&#241;a.es/" TargetMode="External"/><Relationship Id="rId267" Type="http://schemas.openxmlformats.org/officeDocument/2006/relationships/hyperlink" Target="https://twitter.com/santi_abascal/status/975144986701418496" TargetMode="External"/><Relationship Id="rId474" Type="http://schemas.openxmlformats.org/officeDocument/2006/relationships/hyperlink" Target="https://twitter.com/okdiario/status/1064850488498233344" TargetMode="External"/><Relationship Id="rId127" Type="http://schemas.openxmlformats.org/officeDocument/2006/relationships/hyperlink" Target="https://twitter.com/luisesel/status/1065574035256459264" TargetMode="External"/><Relationship Id="rId681" Type="http://schemas.openxmlformats.org/officeDocument/2006/relationships/hyperlink" Target="https://pbs.twimg.com/media/DsUr796XoAEDepn.jpg" TargetMode="External"/><Relationship Id="rId779" Type="http://schemas.openxmlformats.org/officeDocument/2006/relationships/hyperlink" Target="https://twitter.com/David64300241/status/1064164936497143813" TargetMode="External"/><Relationship Id="rId986" Type="http://schemas.openxmlformats.org/officeDocument/2006/relationships/hyperlink" Target="https://pbs.twimg.com/media/DsMpfcgW0AAUGV1.jpg" TargetMode="External"/><Relationship Id="rId334" Type="http://schemas.openxmlformats.org/officeDocument/2006/relationships/hyperlink" Target="http://www.profesoresenaccion.com/?p=553" TargetMode="External"/><Relationship Id="rId541" Type="http://schemas.openxmlformats.org/officeDocument/2006/relationships/hyperlink" Target="https://www.sevillainfo.es/noticias-de-andalucia/entrevista-francisco-serrano-vox-autonomicas-2019/" TargetMode="External"/><Relationship Id="rId639" Type="http://schemas.openxmlformats.org/officeDocument/2006/relationships/hyperlink" Target="https://pbs.twimg.com/media/DsS9GHAWsAEloWg.jpg" TargetMode="External"/><Relationship Id="rId1171" Type="http://schemas.openxmlformats.org/officeDocument/2006/relationships/hyperlink" Target="https://pbs.twimg.com/media/DsHqFYHWsAAo2Ym.jpg" TargetMode="External"/><Relationship Id="rId1269" Type="http://schemas.openxmlformats.org/officeDocument/2006/relationships/hyperlink" Target="https://pbs.twimg.com/media/DsCeMFqWoAAxkAU.jpg" TargetMode="External"/><Relationship Id="rId1476" Type="http://schemas.openxmlformats.org/officeDocument/2006/relationships/hyperlink" Target="https://youtu.be/RaSIX4-RPAI" TargetMode="External"/><Relationship Id="rId2015" Type="http://schemas.openxmlformats.org/officeDocument/2006/relationships/hyperlink" Target="http://www.bitmomentum.com/" TargetMode="External"/><Relationship Id="rId401" Type="http://schemas.openxmlformats.org/officeDocument/2006/relationships/hyperlink" Target="https://okdiario.com/autor/liberal" TargetMode="External"/><Relationship Id="rId846" Type="http://schemas.openxmlformats.org/officeDocument/2006/relationships/hyperlink" Target="http://pic.twitter.com/9eO3qkD7Bl" TargetMode="External"/><Relationship Id="rId1031" Type="http://schemas.openxmlformats.org/officeDocument/2006/relationships/hyperlink" Target="http://www.voxespana.es/" TargetMode="External"/><Relationship Id="rId1129" Type="http://schemas.openxmlformats.org/officeDocument/2006/relationships/hyperlink" Target="http://www.bitmomentum.com/" TargetMode="External"/><Relationship Id="rId1683" Type="http://schemas.openxmlformats.org/officeDocument/2006/relationships/hyperlink" Target="https://m.facebook.com/?_rdr" TargetMode="External"/><Relationship Id="rId1890" Type="http://schemas.openxmlformats.org/officeDocument/2006/relationships/hyperlink" Target="http://www.bitmomentum.com/" TargetMode="External"/><Relationship Id="rId1988" Type="http://schemas.openxmlformats.org/officeDocument/2006/relationships/hyperlink" Target="http://pic.twitter.com/xywqhA7DqO" TargetMode="External"/><Relationship Id="rId706" Type="http://schemas.openxmlformats.org/officeDocument/2006/relationships/hyperlink" Target="https://pbs.twimg.com/media/DsUON_EXQAIJ3od.jpg" TargetMode="External"/><Relationship Id="rId913" Type="http://schemas.openxmlformats.org/officeDocument/2006/relationships/hyperlink" Target="https://pbs.twimg.com/media/DsNxrhLXcAIamga.jpg" TargetMode="External"/><Relationship Id="rId1336" Type="http://schemas.openxmlformats.org/officeDocument/2006/relationships/hyperlink" Target="https://pbs.twimg.com/media/Dr_XekOWwAAWPpq.jpg" TargetMode="External"/><Relationship Id="rId1543" Type="http://schemas.openxmlformats.org/officeDocument/2006/relationships/hyperlink" Target="https://www.laverdad.es/murcia/abascal-callarnos-meter-20181115011216-ntvo.html" TargetMode="External"/><Relationship Id="rId1750" Type="http://schemas.openxmlformats.org/officeDocument/2006/relationships/hyperlink" Target="http://www.casoaislado.com/" TargetMode="External"/><Relationship Id="rId42" Type="http://schemas.openxmlformats.org/officeDocument/2006/relationships/hyperlink" Target="https://www.youtube.com/channel/UCzAeV22GnQxwUBokDOEyb4A" TargetMode="External"/><Relationship Id="rId1403" Type="http://schemas.openxmlformats.org/officeDocument/2006/relationships/hyperlink" Target="http://www.palimpalem.com/7/MOLINADESEGURA/index.html" TargetMode="External"/><Relationship Id="rId1610" Type="http://schemas.openxmlformats.org/officeDocument/2006/relationships/hyperlink" Target="http://www.bitmomentum.com/" TargetMode="External"/><Relationship Id="rId1848" Type="http://schemas.openxmlformats.org/officeDocument/2006/relationships/hyperlink" Target="https://pbs.twimg.com/media/Dr9Cqd5WkAEtn6K.jpg" TargetMode="External"/><Relationship Id="rId191" Type="http://schemas.openxmlformats.org/officeDocument/2006/relationships/hyperlink" Target="https://twitter.com/vox_granada/status/1065339058119946247" TargetMode="External"/><Relationship Id="rId1708" Type="http://schemas.openxmlformats.org/officeDocument/2006/relationships/hyperlink" Target="http://www.tuabandonomepuedematar.org/" TargetMode="External"/><Relationship Id="rId1915" Type="http://schemas.openxmlformats.org/officeDocument/2006/relationships/hyperlink" Target="https://pbs.twimg.com/media/Dr6s_kgXQAAefSf.jpg" TargetMode="External"/><Relationship Id="rId289" Type="http://schemas.openxmlformats.org/officeDocument/2006/relationships/hyperlink" Target="http://elkomunal.simplesite.com/" TargetMode="External"/><Relationship Id="rId496" Type="http://schemas.openxmlformats.org/officeDocument/2006/relationships/hyperlink" Target="http://www.michelpachorra.com/" TargetMode="External"/><Relationship Id="rId149" Type="http://schemas.openxmlformats.org/officeDocument/2006/relationships/hyperlink" Target="http://www.bitmomentum.com/" TargetMode="External"/><Relationship Id="rId356" Type="http://schemas.openxmlformats.org/officeDocument/2006/relationships/hyperlink" Target="http://www.bitmomentum.com/" TargetMode="External"/><Relationship Id="rId563" Type="http://schemas.openxmlformats.org/officeDocument/2006/relationships/hyperlink" Target="http://www.voxespana.es/cadiz" TargetMode="External"/><Relationship Id="rId770" Type="http://schemas.openxmlformats.org/officeDocument/2006/relationships/hyperlink" Target="https://twitter.com/xavibuntu/status/1063875671368376320" TargetMode="External"/><Relationship Id="rId1193" Type="http://schemas.openxmlformats.org/officeDocument/2006/relationships/hyperlink" Target="https://pbs.twimg.com/media/DsHTU9xWwAAeFJi.jpg" TargetMode="External"/><Relationship Id="rId2037" Type="http://schemas.openxmlformats.org/officeDocument/2006/relationships/hyperlink" Target="http://www.ivoox.com/podcast-aguas-turbias_sq_f1132463_1.html" TargetMode="External"/><Relationship Id="rId216" Type="http://schemas.openxmlformats.org/officeDocument/2006/relationships/hyperlink" Target="https://pbs.twimg.com/media/Dsjq4B8WkAEv8cU.jpg" TargetMode="External"/><Relationship Id="rId423" Type="http://schemas.openxmlformats.org/officeDocument/2006/relationships/hyperlink" Target="http://pic.twitter.com/Ikt1mhMm5N" TargetMode="External"/><Relationship Id="rId868" Type="http://schemas.openxmlformats.org/officeDocument/2006/relationships/hyperlink" Target="https://www.elplural.com/politica/un-cargo-del-pp-preside-la-seccion-juvenil-de-la-fundacion-de-santiago-abascal_206432102" TargetMode="External"/><Relationship Id="rId1053" Type="http://schemas.openxmlformats.org/officeDocument/2006/relationships/hyperlink" Target="https://pbs.twimg.com/media/DsJ1aRlXcAEFIvB.jpg" TargetMode="External"/><Relationship Id="rId1260" Type="http://schemas.openxmlformats.org/officeDocument/2006/relationships/hyperlink" Target="http://www.godsavemyswing.es/" TargetMode="External"/><Relationship Id="rId1498" Type="http://schemas.openxmlformats.org/officeDocument/2006/relationships/hyperlink" Target="https://www.laopiniondemurcia.es/comunidad/2018/11/15/delegado-gobierno-region-santiago-abascal/972315.html" TargetMode="External"/><Relationship Id="rId630" Type="http://schemas.openxmlformats.org/officeDocument/2006/relationships/hyperlink" Target="https://twitter.com/pnique/status/1064452020613062658" TargetMode="External"/><Relationship Id="rId728" Type="http://schemas.openxmlformats.org/officeDocument/2006/relationships/hyperlink" Target="http://www.horasur.com/" TargetMode="External"/><Relationship Id="rId935" Type="http://schemas.openxmlformats.org/officeDocument/2006/relationships/hyperlink" Target="http://www.elenfurecido.wordpress.com/" TargetMode="External"/><Relationship Id="rId1358" Type="http://schemas.openxmlformats.org/officeDocument/2006/relationships/hyperlink" Target="http://www.gees.org/" TargetMode="External"/><Relationship Id="rId1565" Type="http://schemas.openxmlformats.org/officeDocument/2006/relationships/hyperlink" Target="https://twitter.com/Velherro/status/1062764702990766083" TargetMode="External"/><Relationship Id="rId1772" Type="http://schemas.openxmlformats.org/officeDocument/2006/relationships/hyperlink" Target="https://pbs.twimg.com/media/Dr-aaxIWwAEmOFT.jpg" TargetMode="External"/><Relationship Id="rId64" Type="http://schemas.openxmlformats.org/officeDocument/2006/relationships/hyperlink" Target="http://www.mundodvd.com/" TargetMode="External"/><Relationship Id="rId1120" Type="http://schemas.openxmlformats.org/officeDocument/2006/relationships/hyperlink" Target="https://twitter.com/Alternativa_VOX/status/1063416118923141121" TargetMode="External"/><Relationship Id="rId1218" Type="http://schemas.openxmlformats.org/officeDocument/2006/relationships/hyperlink" Target="http://www.bitmomentum.com/" TargetMode="External"/><Relationship Id="rId1425" Type="http://schemas.openxmlformats.org/officeDocument/2006/relationships/hyperlink" Target="https://twitter.com/Santi_ABASCAL/status/1063066152648228866" TargetMode="External"/><Relationship Id="rId1632" Type="http://schemas.openxmlformats.org/officeDocument/2006/relationships/hyperlink" Target="https://pbs.twimg.com/media/Dr_p6qiW4AAr1md.jpg" TargetMode="External"/><Relationship Id="rId1937" Type="http://schemas.openxmlformats.org/officeDocument/2006/relationships/hyperlink" Target="https://pbs.twimg.com/media/Dr6bjKNX0AcM1kn.jpg" TargetMode="External"/><Relationship Id="rId280" Type="http://schemas.openxmlformats.org/officeDocument/2006/relationships/hyperlink" Target="https://pbs.twimg.com/media/DshRMoFXcAApT_n.jpg" TargetMode="External"/><Relationship Id="rId140" Type="http://schemas.openxmlformats.org/officeDocument/2006/relationships/hyperlink" Target="https://www.esdiario.com/461354969/La-expulsion-de-Gabriel-Rufian-destapa-su-escandalosa-nomina-de-.000-euros.html" TargetMode="External"/><Relationship Id="rId378" Type="http://schemas.openxmlformats.org/officeDocument/2006/relationships/hyperlink" Target="http://pic.twitter.com/F18eLKasbA" TargetMode="External"/><Relationship Id="rId585" Type="http://schemas.openxmlformats.org/officeDocument/2006/relationships/hyperlink" Target="https://pbs.twimg.com/media/DsYNurTXoAIGfDP.jpg" TargetMode="External"/><Relationship Id="rId792" Type="http://schemas.openxmlformats.org/officeDocument/2006/relationships/hyperlink" Target="http://laboratorio-mabuse.blogspot.com/" TargetMode="External"/><Relationship Id="rId2059" Type="http://schemas.openxmlformats.org/officeDocument/2006/relationships/hyperlink" Target="https://twitter.com/Gregorio4000/status/1061939201720139776" TargetMode="External"/><Relationship Id="rId6" Type="http://schemas.openxmlformats.org/officeDocument/2006/relationships/hyperlink" Target="https://pbs.twimg.com/media/DseWXTcXQAUhISe.jpg" TargetMode="External"/><Relationship Id="rId238" Type="http://schemas.openxmlformats.org/officeDocument/2006/relationships/hyperlink" Target="https://pbs.twimg.com/media/DsjSr2_XoAACHZA.jpg" TargetMode="External"/><Relationship Id="rId445" Type="http://schemas.openxmlformats.org/officeDocument/2006/relationships/hyperlink" Target="http://www.bitmomentum.com/" TargetMode="External"/><Relationship Id="rId652" Type="http://schemas.openxmlformats.org/officeDocument/2006/relationships/hyperlink" Target="http://pic.twitter.com/V1Xpp0HA9I" TargetMode="External"/><Relationship Id="rId1075" Type="http://schemas.openxmlformats.org/officeDocument/2006/relationships/hyperlink" Target="https://pbs.twimg.com/media/DsJfjkeWwAEYjtr.jpg" TargetMode="External"/><Relationship Id="rId1282" Type="http://schemas.openxmlformats.org/officeDocument/2006/relationships/hyperlink" Target="https://www.libertaddigital.com/espana/2018-11-15/grosera-manipulacion-de-la-sexta-con-el-acto-de-vox-abascal-llego-a-amenazar-con-salir-1276628314/" TargetMode="External"/><Relationship Id="rId305" Type="http://schemas.openxmlformats.org/officeDocument/2006/relationships/hyperlink" Target="https://www.cope.es/actualidad/espana/noticias/borrell-denuncia-que-diputado-erc-escupio-hemiciclo-elogia-actuacion-ana-pastor-20181121_296941" TargetMode="External"/><Relationship Id="rId512" Type="http://schemas.openxmlformats.org/officeDocument/2006/relationships/hyperlink" Target="https://somatemps.me/2018/11/19/la-chicas-del-grupo-libera-barcelona-se-especializa-en-limpiar-de-lazis-las-luces-navidenas-video-y-fotos/" TargetMode="External"/><Relationship Id="rId957" Type="http://schemas.openxmlformats.org/officeDocument/2006/relationships/hyperlink" Target="https://www.elplural.com/politica/un-cargo-del-pp-preside-la-seccion-juvenil-de-la-fundacion-de-santiago-abascal_206432102_amp?__twitter_impression=true" TargetMode="External"/><Relationship Id="rId1142" Type="http://schemas.openxmlformats.org/officeDocument/2006/relationships/hyperlink" Target="https://twitter.com/TeresaColl1/status/1063362439926943744" TargetMode="External"/><Relationship Id="rId1587" Type="http://schemas.openxmlformats.org/officeDocument/2006/relationships/hyperlink" Target="http://pic.twitter.com/Gygotr1kDR" TargetMode="External"/><Relationship Id="rId1794" Type="http://schemas.openxmlformats.org/officeDocument/2006/relationships/hyperlink" Target="http://elgaritodeabajo.wordpress.com/" TargetMode="External"/><Relationship Id="rId86" Type="http://schemas.openxmlformats.org/officeDocument/2006/relationships/hyperlink" Target="https://pbs.twimg.com/media/Dsnah_rWkAYbTJO.jpg" TargetMode="External"/><Relationship Id="rId817" Type="http://schemas.openxmlformats.org/officeDocument/2006/relationships/hyperlink" Target="https://pbs.twimg.com/media/DsRx-92X4AAniqg.jpg" TargetMode="External"/><Relationship Id="rId1002" Type="http://schemas.openxmlformats.org/officeDocument/2006/relationships/hyperlink" Target="http://pic.twitter.com/pCP66CeZKk" TargetMode="External"/><Relationship Id="rId1447" Type="http://schemas.openxmlformats.org/officeDocument/2006/relationships/hyperlink" Target="https://pbs.twimg.com/media/DsDHUrpXQAI9Uhw.jpg" TargetMode="External"/><Relationship Id="rId1654" Type="http://schemas.openxmlformats.org/officeDocument/2006/relationships/hyperlink" Target="http://youtu.be/npe7qut04G4?a" TargetMode="External"/><Relationship Id="rId1861" Type="http://schemas.openxmlformats.org/officeDocument/2006/relationships/hyperlink" Target="https://es-es.facebook.com/Vox.Cantabria/" TargetMode="External"/><Relationship Id="rId1307" Type="http://schemas.openxmlformats.org/officeDocument/2006/relationships/hyperlink" Target="https://twitter.com/Santi_ABASCAL/status/1063069836908134402" TargetMode="External"/><Relationship Id="rId1514" Type="http://schemas.openxmlformats.org/officeDocument/2006/relationships/hyperlink" Target="https://www.facebook.com/Dando-un-Mazazo-961983367274605/" TargetMode="External"/><Relationship Id="rId1721" Type="http://schemas.openxmlformats.org/officeDocument/2006/relationships/hyperlink" Target="https://www.pscp.tv/w/brxpZTFvUEVMT3ZEcXhYamR8MVlxS0R5dm9BQlFHVlYJACmXH8j19nVbL8_SI7b7JMjAP6sjoNTyniLipzo4" TargetMode="External"/><Relationship Id="rId1959" Type="http://schemas.openxmlformats.org/officeDocument/2006/relationships/hyperlink" Target="http://instagram.com/_juancar7" TargetMode="External"/><Relationship Id="rId13" Type="http://schemas.openxmlformats.org/officeDocument/2006/relationships/hyperlink" Target="https://twitter.com/rouco64/status/1065923791249960960" TargetMode="External"/><Relationship Id="rId1819" Type="http://schemas.openxmlformats.org/officeDocument/2006/relationships/hyperlink" Target="https://youtu.be/uc7nbZ5FRso" TargetMode="External"/><Relationship Id="rId162" Type="http://schemas.openxmlformats.org/officeDocument/2006/relationships/hyperlink" Target="https://pbs.twimg.com/media/DseC1u5XcAAGT_3.jpg" TargetMode="External"/><Relationship Id="rId467" Type="http://schemas.openxmlformats.org/officeDocument/2006/relationships/hyperlink" Target="https://pbs.twimg.com/media/DsXt6y7WkAEFva_.jpg" TargetMode="External"/><Relationship Id="rId1097" Type="http://schemas.openxmlformats.org/officeDocument/2006/relationships/hyperlink" Target="https://pginanegra.blogspot.com.es/?m=1" TargetMode="External"/><Relationship Id="rId2050" Type="http://schemas.openxmlformats.org/officeDocument/2006/relationships/hyperlink" Target="https://pbs.twimg.com/media/Dr1cr4BXgAIALVU.jpg" TargetMode="External"/><Relationship Id="rId674" Type="http://schemas.openxmlformats.org/officeDocument/2006/relationships/hyperlink" Target="http://pic.twitter.com/AFDZWS6JLN" TargetMode="External"/><Relationship Id="rId881" Type="http://schemas.openxmlformats.org/officeDocument/2006/relationships/hyperlink" Target="http://pic.twitter.com/DJtSmZgW6l" TargetMode="External"/><Relationship Id="rId979" Type="http://schemas.openxmlformats.org/officeDocument/2006/relationships/hyperlink" Target="https://www.diariosur.es/elecciones/andaluzas/" TargetMode="External"/><Relationship Id="rId327" Type="http://schemas.openxmlformats.org/officeDocument/2006/relationships/hyperlink" Target="https://twitter.com/ZacEfron/status/1064991224044707841" TargetMode="External"/><Relationship Id="rId534" Type="http://schemas.openxmlformats.org/officeDocument/2006/relationships/hyperlink" Target="http://www.diariodealmeria.es/" TargetMode="External"/><Relationship Id="rId741" Type="http://schemas.openxmlformats.org/officeDocument/2006/relationships/hyperlink" Target="https://youtu.be/RaSIX4-RPAI" TargetMode="External"/><Relationship Id="rId839" Type="http://schemas.openxmlformats.org/officeDocument/2006/relationships/hyperlink" Target="https://twitter.com/VOXSevilla/status/1063784743228112896" TargetMode="External"/><Relationship Id="rId1164" Type="http://schemas.openxmlformats.org/officeDocument/2006/relationships/hyperlink" Target="http://pic.twitter.com/f7SH7a5OF0" TargetMode="External"/><Relationship Id="rId1371" Type="http://schemas.openxmlformats.org/officeDocument/2006/relationships/hyperlink" Target="https://pbs.twimg.com/media/DsEGCh6WkAAWk8r.jpg" TargetMode="External"/><Relationship Id="rId1469" Type="http://schemas.openxmlformats.org/officeDocument/2006/relationships/hyperlink" Target="http://pic.twitter.com/Gygotr1kDR" TargetMode="External"/><Relationship Id="rId2008" Type="http://schemas.openxmlformats.org/officeDocument/2006/relationships/hyperlink" Target="https://youtu.be/RaSIX4-RPAI" TargetMode="External"/><Relationship Id="rId601" Type="http://schemas.openxmlformats.org/officeDocument/2006/relationships/hyperlink" Target="https://twitter.com/pablocasado_/status/1064523978725908481" TargetMode="External"/><Relationship Id="rId1024" Type="http://schemas.openxmlformats.org/officeDocument/2006/relationships/hyperlink" Target="https://pbs.twimg.com/media/DsJECQjWwAAWVe5.jpg" TargetMode="External"/><Relationship Id="rId1231" Type="http://schemas.openxmlformats.org/officeDocument/2006/relationships/hyperlink" Target="https://twitter.com/Miotroyo2parte/status/1062756227644559360" TargetMode="External"/><Relationship Id="rId1676" Type="http://schemas.openxmlformats.org/officeDocument/2006/relationships/hyperlink" Target="https://pbs.twimg.com/media/Dr_bKruWsAEADQp.jpg" TargetMode="External"/><Relationship Id="rId1883" Type="http://schemas.openxmlformats.org/officeDocument/2006/relationships/hyperlink" Target="https://chn.ge/2zFfoLl" TargetMode="External"/><Relationship Id="rId906" Type="http://schemas.openxmlformats.org/officeDocument/2006/relationships/hyperlink" Target="https://twitter.com/miotroyo2parte/status/1063816143671037953" TargetMode="External"/><Relationship Id="rId1329" Type="http://schemas.openxmlformats.org/officeDocument/2006/relationships/hyperlink" Target="https://www.periodistadigital.com/periodismo/tv/2018/11/15/abascal-estalla-y-emite-un-demoledor-video-contra-ferreras-y-la-manipulacion-de-lasexta.shtml" TargetMode="External"/><Relationship Id="rId1536" Type="http://schemas.openxmlformats.org/officeDocument/2006/relationships/hyperlink" Target="http://www.bitmomentum.com/" TargetMode="External"/><Relationship Id="rId1743" Type="http://schemas.openxmlformats.org/officeDocument/2006/relationships/hyperlink" Target="https://pbs.twimg.com/media/Dr-4XZxX0AArje4.jpg" TargetMode="External"/><Relationship Id="rId1950" Type="http://schemas.openxmlformats.org/officeDocument/2006/relationships/hyperlink" Target="http://www.bitmomentum.com/" TargetMode="External"/><Relationship Id="rId35" Type="http://schemas.openxmlformats.org/officeDocument/2006/relationships/hyperlink" Target="http://pic.twitter.com/xUHO0yzSVF" TargetMode="External"/><Relationship Id="rId1603" Type="http://schemas.openxmlformats.org/officeDocument/2006/relationships/hyperlink" Target="https://www.voxespana.es/afiliarse-a-vox" TargetMode="External"/><Relationship Id="rId1810" Type="http://schemas.openxmlformats.org/officeDocument/2006/relationships/hyperlink" Target="http://www.dondiario.com/" TargetMode="External"/><Relationship Id="rId184" Type="http://schemas.openxmlformats.org/officeDocument/2006/relationships/hyperlink" Target="http://www.bitmomentum.com/" TargetMode="External"/><Relationship Id="rId391" Type="http://schemas.openxmlformats.org/officeDocument/2006/relationships/hyperlink" Target="http://www.bitmomentum.com/" TargetMode="External"/><Relationship Id="rId1908" Type="http://schemas.openxmlformats.org/officeDocument/2006/relationships/hyperlink" Target="https://pbs.twimg.com/media/Dr627NQWkAUjYgt.jpg" TargetMode="External"/><Relationship Id="rId2072" Type="http://schemas.openxmlformats.org/officeDocument/2006/relationships/hyperlink" Target="https://www.esdiario.com/222760053/La-firme-respuesta-de-Abascal-cuando-le-preguntan-en-Trece--si-Vox-es-populista.html" TargetMode="External"/><Relationship Id="rId251" Type="http://schemas.openxmlformats.org/officeDocument/2006/relationships/hyperlink" Target="https://pbs.twimg.com/media/DsjCFhYXoAAR9nA.jpg" TargetMode="External"/><Relationship Id="rId489" Type="http://schemas.openxmlformats.org/officeDocument/2006/relationships/hyperlink" Target="https://pbs.twimg.com/media/Dsb7g9xWoAAWa1Q.jpg" TargetMode="External"/><Relationship Id="rId696" Type="http://schemas.openxmlformats.org/officeDocument/2006/relationships/hyperlink" Target="http://pic.twitter.com/nwZ5e38v5d" TargetMode="External"/><Relationship Id="rId46" Type="http://schemas.openxmlformats.org/officeDocument/2006/relationships/hyperlink" Target="https://www.abc.es/espana/abci-crece-alarma-pp-y-ciudadanos-subida-andalucia-201811230403_noticia.html" TargetMode="External"/><Relationship Id="rId349" Type="http://schemas.openxmlformats.org/officeDocument/2006/relationships/hyperlink" Target="http://www.bitmomentum.com/" TargetMode="External"/><Relationship Id="rId556" Type="http://schemas.openxmlformats.org/officeDocument/2006/relationships/hyperlink" Target="https://pbs.twimg.com/media/DsY8tuNXgAA-oyo.jpg" TargetMode="External"/><Relationship Id="rId763" Type="http://schemas.openxmlformats.org/officeDocument/2006/relationships/hyperlink" Target="https://pbs.twimg.com/media/DsTAyb5WkAAe3kl.jpg" TargetMode="External"/><Relationship Id="rId1186" Type="http://schemas.openxmlformats.org/officeDocument/2006/relationships/hyperlink" Target="https://esradio.libertaddigital.com/fonoteca/2018-11-16/federico-a-las-6-la-violencia-del-golpe-ahora-contra-los-jueces-130268.html" TargetMode="External"/><Relationship Id="rId1393" Type="http://schemas.openxmlformats.org/officeDocument/2006/relationships/hyperlink" Target="https://www.instagram.com/p/BqNcRbLARaU/?utm_source=ig_twitter_share&amp;igshid=mytne6a66yn5" TargetMode="External"/><Relationship Id="rId1407" Type="http://schemas.openxmlformats.org/officeDocument/2006/relationships/hyperlink" Target="http://pic.twitter.com/1tLSpbkLQK" TargetMode="External"/><Relationship Id="rId1614" Type="http://schemas.openxmlformats.org/officeDocument/2006/relationships/hyperlink" Target="https://pbs.twimg.com/media/Dr_0G0JWwAABXGe.jpg" TargetMode="External"/><Relationship Id="rId1821" Type="http://schemas.openxmlformats.org/officeDocument/2006/relationships/hyperlink" Target="https://twitter.com/Santi_ABASCAL/status/1062641424334839810" TargetMode="External"/><Relationship Id="rId111" Type="http://schemas.openxmlformats.org/officeDocument/2006/relationships/hyperlink" Target="http://forocompol.com/" TargetMode="External"/><Relationship Id="rId195" Type="http://schemas.openxmlformats.org/officeDocument/2006/relationships/hyperlink" Target="http://pic.twitter.com/CcOP64HrVF" TargetMode="External"/><Relationship Id="rId209" Type="http://schemas.openxmlformats.org/officeDocument/2006/relationships/hyperlink" Target="https://pbs.twimg.com/media/DsjtSeFXQAEROuJ.jpg" TargetMode="External"/><Relationship Id="rId416" Type="http://schemas.openxmlformats.org/officeDocument/2006/relationships/hyperlink" Target="https://pbs.twimg.com/media/DseMkNXWwAIcFEY.jpg" TargetMode="External"/><Relationship Id="rId970" Type="http://schemas.openxmlformats.org/officeDocument/2006/relationships/hyperlink" Target="https://www.diariosur.es/elecciones/andaluzas/" TargetMode="External"/><Relationship Id="rId1046" Type="http://schemas.openxmlformats.org/officeDocument/2006/relationships/hyperlink" Target="http://www.voxespana.es/sevilla" TargetMode="External"/><Relationship Id="rId1253" Type="http://schemas.openxmlformats.org/officeDocument/2006/relationships/hyperlink" Target="https://youtu.be/RaSIX4-RPAI" TargetMode="External"/><Relationship Id="rId1698" Type="http://schemas.openxmlformats.org/officeDocument/2006/relationships/hyperlink" Target="https://pbs.twimg.com/media/Dr_Po4DWsAA5XGk.jpg" TargetMode="External"/><Relationship Id="rId1919" Type="http://schemas.openxmlformats.org/officeDocument/2006/relationships/hyperlink" Target="http://www.bellaindomita.com/" TargetMode="External"/><Relationship Id="rId623" Type="http://schemas.openxmlformats.org/officeDocument/2006/relationships/hyperlink" Target="https://www.portaldecadiz.com/provinciacadiz/36956-vox-y-santiago-abascal-presentan-hoy-en-la-provincia-de-cadiz-la-espana-viva" TargetMode="External"/><Relationship Id="rId830" Type="http://schemas.openxmlformats.org/officeDocument/2006/relationships/hyperlink" Target="http://www.periodistadigital.com/periodismo/tv/2018/11/15/abascal-estalla-y-emite-un-demoledor-video-contra-ferreras-y-la-manipulacion-de-lasexta.shtml" TargetMode="External"/><Relationship Id="rId928" Type="http://schemas.openxmlformats.org/officeDocument/2006/relationships/hyperlink" Target="http://pic.twitter.com/qREUW9lXVB" TargetMode="External"/><Relationship Id="rId1460" Type="http://schemas.openxmlformats.org/officeDocument/2006/relationships/hyperlink" Target="https://twitter.com/santi_abascal/status/1063069836908134402" TargetMode="External"/><Relationship Id="rId1558" Type="http://schemas.openxmlformats.org/officeDocument/2006/relationships/hyperlink" Target="https://twitter.com/CasoAislado_Es/status/1062766747332288512" TargetMode="External"/><Relationship Id="rId1765" Type="http://schemas.openxmlformats.org/officeDocument/2006/relationships/hyperlink" Target="http://www.eldiario.es/murcia/" TargetMode="External"/><Relationship Id="rId57" Type="http://schemas.openxmlformats.org/officeDocument/2006/relationships/hyperlink" Target="https://twitter.com/Santi_ABASCAL/status/1065742887315546118" TargetMode="External"/><Relationship Id="rId262" Type="http://schemas.openxmlformats.org/officeDocument/2006/relationships/hyperlink" Target="https://www.eldiestro.es/2018/10/el-lider-de-vox-santi-abascal-pone-a-pablo-echenique-en-su-sitio-venga-echenique-vete-a-por-otra/" TargetMode="External"/><Relationship Id="rId567" Type="http://schemas.openxmlformats.org/officeDocument/2006/relationships/hyperlink" Target="https://pbs.twimg.com/media/DsYh-6YXoAIAmfs.jpg" TargetMode="External"/><Relationship Id="rId1113" Type="http://schemas.openxmlformats.org/officeDocument/2006/relationships/hyperlink" Target="https://twitter.com/malditobulo/status/1063367156019138560" TargetMode="External"/><Relationship Id="rId1197" Type="http://schemas.openxmlformats.org/officeDocument/2006/relationships/hyperlink" Target="https://www.periodistadigital.com/periodismo/tv/2018/11/15/abascal-estalla-y-emite-un-demoledor-video-contra-ferreras-y-la-manipulacion-de-lasexta.shtml" TargetMode="External"/><Relationship Id="rId1320" Type="http://schemas.openxmlformats.org/officeDocument/2006/relationships/hyperlink" Target="https://pbs.twimg.com/media/DsEk3uCWoAAk9Ra.jpg" TargetMode="External"/><Relationship Id="rId1418" Type="http://schemas.openxmlformats.org/officeDocument/2006/relationships/hyperlink" Target="https://www.youtube.com/watch?v=nKuTX3MaDzg" TargetMode="External"/><Relationship Id="rId1972" Type="http://schemas.openxmlformats.org/officeDocument/2006/relationships/hyperlink" Target="https://www.elmundo.es/espana/2018/11/13/5be9f0e9268e3e3c168b4636.html" TargetMode="External"/><Relationship Id="rId122" Type="http://schemas.openxmlformats.org/officeDocument/2006/relationships/hyperlink" Target="https://www.libertaddigital.com/espana/2018-11-22/rivera-sobre-rufian-y-borrell-a-sanchez-se-le-ha-ido-el-gobierno-frankenstein-de-las-manos-1276628665/" TargetMode="External"/><Relationship Id="rId774" Type="http://schemas.openxmlformats.org/officeDocument/2006/relationships/hyperlink" Target="https://twitter.com/ericawerner/status/1062446638881476608" TargetMode="External"/><Relationship Id="rId981" Type="http://schemas.openxmlformats.org/officeDocument/2006/relationships/hyperlink" Target="http://diariosur.es/" TargetMode="External"/><Relationship Id="rId1057" Type="http://schemas.openxmlformats.org/officeDocument/2006/relationships/hyperlink" Target="https://youtu.be/RaSIX4-RPAI" TargetMode="External"/><Relationship Id="rId1625" Type="http://schemas.openxmlformats.org/officeDocument/2006/relationships/hyperlink" Target="http://www.bitmomentum.com/" TargetMode="External"/><Relationship Id="rId1832" Type="http://schemas.openxmlformats.org/officeDocument/2006/relationships/hyperlink" Target="https://pbs.twimg.com/media/Dr9RvsEX0AAmD6C.jpg" TargetMode="External"/><Relationship Id="rId2010" Type="http://schemas.openxmlformats.org/officeDocument/2006/relationships/hyperlink" Target="https://www.diaribalear.es/hemos-de-acabar-en-las-urnas-con-una-izquierda-ultra-radical-capaz-de-amenazar-a-una-mujer-con-su-hija/" TargetMode="External"/><Relationship Id="rId427" Type="http://schemas.openxmlformats.org/officeDocument/2006/relationships/hyperlink" Target="https://8cadiz.es/presentacion-libro/" TargetMode="External"/><Relationship Id="rId634" Type="http://schemas.openxmlformats.org/officeDocument/2006/relationships/hyperlink" Target="http://www.voxespana.es/guadalajara" TargetMode="External"/><Relationship Id="rId841" Type="http://schemas.openxmlformats.org/officeDocument/2006/relationships/hyperlink" Target="https://pbs.twimg.com/media/DsPeZywX4AAQhw1.jpg" TargetMode="External"/><Relationship Id="rId1264" Type="http://schemas.openxmlformats.org/officeDocument/2006/relationships/hyperlink" Target="http://www.periodistadigital.tv/santi-abascal-vox-asi-manipula-lasextatv-de-ferreras-y-compinches_26ef78bf8.html" TargetMode="External"/><Relationship Id="rId1471" Type="http://schemas.openxmlformats.org/officeDocument/2006/relationships/hyperlink" Target="http://elotrolado.es/" TargetMode="External"/><Relationship Id="rId1569" Type="http://schemas.openxmlformats.org/officeDocument/2006/relationships/hyperlink" Target="http://www.bitmomentum.com/" TargetMode="External"/><Relationship Id="rId273" Type="http://schemas.openxmlformats.org/officeDocument/2006/relationships/hyperlink" Target="https://pbs.twimg.com/media/Dseb3ywUUAA7Nkc.jpg" TargetMode="External"/><Relationship Id="rId480" Type="http://schemas.openxmlformats.org/officeDocument/2006/relationships/hyperlink" Target="https://twitter.com/Bernat_Castro/status/1064646195820339201" TargetMode="External"/><Relationship Id="rId701" Type="http://schemas.openxmlformats.org/officeDocument/2006/relationships/hyperlink" Target="http://pic.twitter.com/8jPfelSdQK" TargetMode="External"/><Relationship Id="rId939" Type="http://schemas.openxmlformats.org/officeDocument/2006/relationships/hyperlink" Target="http://pic.twitter.com/NLucsmLfNG" TargetMode="External"/><Relationship Id="rId1124" Type="http://schemas.openxmlformats.org/officeDocument/2006/relationships/hyperlink" Target="http://pic.twitter.com/lhgxUIF85r" TargetMode="External"/><Relationship Id="rId1331" Type="http://schemas.openxmlformats.org/officeDocument/2006/relationships/hyperlink" Target="http://www.bellaindomita.com/" TargetMode="External"/><Relationship Id="rId1776" Type="http://schemas.openxmlformats.org/officeDocument/2006/relationships/hyperlink" Target="https://pbs.twimg.com/media/Dr-NULWWoAEMeaX.jpg" TargetMode="External"/><Relationship Id="rId1983" Type="http://schemas.openxmlformats.org/officeDocument/2006/relationships/hyperlink" Target="http://pic.twitter.com/QYdNZAKAwh" TargetMode="External"/><Relationship Id="rId68" Type="http://schemas.openxmlformats.org/officeDocument/2006/relationships/hyperlink" Target="http://www.bitmomentum.com/" TargetMode="External"/><Relationship Id="rId133" Type="http://schemas.openxmlformats.org/officeDocument/2006/relationships/hyperlink" Target="http://www.europapress.es/galicia/" TargetMode="External"/><Relationship Id="rId340" Type="http://schemas.openxmlformats.org/officeDocument/2006/relationships/hyperlink" Target="https://www.azamblea.org/" TargetMode="External"/><Relationship Id="rId578" Type="http://schemas.openxmlformats.org/officeDocument/2006/relationships/hyperlink" Target="https://twitter.com/pnique/status/1064452020613062658" TargetMode="External"/><Relationship Id="rId785" Type="http://schemas.openxmlformats.org/officeDocument/2006/relationships/hyperlink" Target="https://www.20minutos.es/noticia/3494358/0/interior-perdona-iman-zuera-expulsado-relacionar-atentados-cataluna-misiones-exterior/" TargetMode="External"/><Relationship Id="rId992" Type="http://schemas.openxmlformats.org/officeDocument/2006/relationships/hyperlink" Target="http://levantatespana.blogspot.com/" TargetMode="External"/><Relationship Id="rId1429" Type="http://schemas.openxmlformats.org/officeDocument/2006/relationships/hyperlink" Target="https://pbs.twimg.com/media/DsDfqnIXgAAu4Pt.jpg" TargetMode="External"/><Relationship Id="rId1636" Type="http://schemas.openxmlformats.org/officeDocument/2006/relationships/hyperlink" Target="http://pic.twitter.com/Gygotr1kDR" TargetMode="External"/><Relationship Id="rId1843" Type="http://schemas.openxmlformats.org/officeDocument/2006/relationships/hyperlink" Target="https://twitter.com/orue_s/status/1062601550311374851" TargetMode="External"/><Relationship Id="rId2021" Type="http://schemas.openxmlformats.org/officeDocument/2006/relationships/hyperlink" Target="http://www.voxespana.es/" TargetMode="External"/><Relationship Id="rId200" Type="http://schemas.openxmlformats.org/officeDocument/2006/relationships/hyperlink" Target="https://twitter.com/Xabibenputa/status/1065362223801995265" TargetMode="External"/><Relationship Id="rId438" Type="http://schemas.openxmlformats.org/officeDocument/2006/relationships/hyperlink" Target="https://pbs.twimg.com/media/DsdmLPuW0AAqWk5.jpg" TargetMode="External"/><Relationship Id="rId645" Type="http://schemas.openxmlformats.org/officeDocument/2006/relationships/hyperlink" Target="https://pbs.twimg.com/media/DsXLB_UXQAEQs7r.jpg" TargetMode="External"/><Relationship Id="rId852" Type="http://schemas.openxmlformats.org/officeDocument/2006/relationships/hyperlink" Target="https://www.youtube.com/attribution_link?a=gr43B-1NDZc&amp;u=%2Fwatch%3Fv%3DBQdqDcAqPuE%26feature%3Dshare" TargetMode="External"/><Relationship Id="rId1068" Type="http://schemas.openxmlformats.org/officeDocument/2006/relationships/hyperlink" Target="https://pbs.twimg.com/media/DsJjNp5XgAA6voV.jpg" TargetMode="External"/><Relationship Id="rId1275" Type="http://schemas.openxmlformats.org/officeDocument/2006/relationships/hyperlink" Target="http://nosoyfreak.net/" TargetMode="External"/><Relationship Id="rId1482" Type="http://schemas.openxmlformats.org/officeDocument/2006/relationships/hyperlink" Target="http://www.bitmomentum.com/" TargetMode="External"/><Relationship Id="rId1703" Type="http://schemas.openxmlformats.org/officeDocument/2006/relationships/hyperlink" Target="https://pbs.twimg.com/media/Dr_Mf1UX4AEisXV.jpg" TargetMode="External"/><Relationship Id="rId1910" Type="http://schemas.openxmlformats.org/officeDocument/2006/relationships/hyperlink" Target="http://www.elperiodico.com/" TargetMode="External"/><Relationship Id="rId284" Type="http://schemas.openxmlformats.org/officeDocument/2006/relationships/hyperlink" Target="https://pbs.twimg.com/media/Dseb3ywUUAA7Nkc.jpg" TargetMode="External"/><Relationship Id="rId491" Type="http://schemas.openxmlformats.org/officeDocument/2006/relationships/hyperlink" Target="https://casoaislado.com/santiago-abascal-aplaude-al-juez-marchena-ha-dado-una-leccion-dignidad-patriotismo-e-independencia/" TargetMode="External"/><Relationship Id="rId505" Type="http://schemas.openxmlformats.org/officeDocument/2006/relationships/hyperlink" Target="http://pic.twitter.com/sCanGjiWBc" TargetMode="External"/><Relationship Id="rId712" Type="http://schemas.openxmlformats.org/officeDocument/2006/relationships/hyperlink" Target="https://pbs.twimg.com/media/DsUIiECWsAAOs5M.jpg" TargetMode="External"/><Relationship Id="rId1135" Type="http://schemas.openxmlformats.org/officeDocument/2006/relationships/hyperlink" Target="https://pbs.twimg.com/media/DsIFiJJWsAIgEIn.jpg" TargetMode="External"/><Relationship Id="rId1342" Type="http://schemas.openxmlformats.org/officeDocument/2006/relationships/hyperlink" Target="https://www.periodistadigital.com/periodismo/tv/2018/11/15/abascal-estalla-y-emite-un-demoledor-video-contra-ferreras-y-la-manipulacion-de-lasexta.shtml" TargetMode="External"/><Relationship Id="rId1787" Type="http://schemas.openxmlformats.org/officeDocument/2006/relationships/hyperlink" Target="http://pic.twitter.com/A4za0l0VpL" TargetMode="External"/><Relationship Id="rId1994" Type="http://schemas.openxmlformats.org/officeDocument/2006/relationships/hyperlink" Target="http://www.bitmomentum.com/" TargetMode="External"/><Relationship Id="rId79" Type="http://schemas.openxmlformats.org/officeDocument/2006/relationships/hyperlink" Target="https://pbs.twimg.com/media/DsoRvo5XgAIbZPi.jpg" TargetMode="External"/><Relationship Id="rId144" Type="http://schemas.openxmlformats.org/officeDocument/2006/relationships/hyperlink" Target="http://www.bitmomentum.com/" TargetMode="External"/><Relationship Id="rId589" Type="http://schemas.openxmlformats.org/officeDocument/2006/relationships/hyperlink" Target="http://instagram.com/Mellaman_negro" TargetMode="External"/><Relationship Id="rId796" Type="http://schemas.openxmlformats.org/officeDocument/2006/relationships/hyperlink" Target="https://pbs.twimg.com/media/DsSM01cWkAASQKt.jpg" TargetMode="External"/><Relationship Id="rId1202" Type="http://schemas.openxmlformats.org/officeDocument/2006/relationships/hyperlink" Target="https://s3-eu-west-1.amazonaws.com/kmplus-account-files/1712295/2018/11/16/CQ6QZFgFgUCP90iWQfmyg.mp4" TargetMode="External"/><Relationship Id="rId1647" Type="http://schemas.openxmlformats.org/officeDocument/2006/relationships/hyperlink" Target="http://www.voxespana.es/valencia" TargetMode="External"/><Relationship Id="rId1854" Type="http://schemas.openxmlformats.org/officeDocument/2006/relationships/hyperlink" Target="http://www.bitmomentum.com/" TargetMode="External"/><Relationship Id="rId351" Type="http://schemas.openxmlformats.org/officeDocument/2006/relationships/hyperlink" Target="https://pbs.twimg.com/media/DsgBNTcX4AAjhSI.jpg" TargetMode="External"/><Relationship Id="rId449" Type="http://schemas.openxmlformats.org/officeDocument/2006/relationships/hyperlink" Target="https://goo.gl/YQ1pdq" TargetMode="External"/><Relationship Id="rId656" Type="http://schemas.openxmlformats.org/officeDocument/2006/relationships/hyperlink" Target="https://pbs.twimg.com/media/DsWklguX4AAylPK.jpg" TargetMode="External"/><Relationship Id="rId863" Type="http://schemas.openxmlformats.org/officeDocument/2006/relationships/hyperlink" Target="https://twitter.com/IosuBilbao/status/1063040047631474689" TargetMode="External"/><Relationship Id="rId1079" Type="http://schemas.openxmlformats.org/officeDocument/2006/relationships/hyperlink" Target="http://www.elindependiente.com/autor/carmen-torres/" TargetMode="External"/><Relationship Id="rId1286" Type="http://schemas.openxmlformats.org/officeDocument/2006/relationships/hyperlink" Target="http://www.bitmomentum.com/" TargetMode="External"/><Relationship Id="rId1493" Type="http://schemas.openxmlformats.org/officeDocument/2006/relationships/hyperlink" Target="https://twitter.com/pasanchezmatas/status/1062764281261944832" TargetMode="External"/><Relationship Id="rId1507" Type="http://schemas.openxmlformats.org/officeDocument/2006/relationships/hyperlink" Target="https://ocio.laopiniondemurcia.es/tv/noticias/nws-708227-ana-rosa-santiago-abascal-espanoles-somos-todos-votemos-partido-votemos.html" TargetMode="External"/><Relationship Id="rId1714" Type="http://schemas.openxmlformats.org/officeDocument/2006/relationships/hyperlink" Target="http://pic.twitter.com/uGkscpLR8p" TargetMode="External"/><Relationship Id="rId2032" Type="http://schemas.openxmlformats.org/officeDocument/2006/relationships/hyperlink" Target="https://instagram.com/_victor_hurtado/" TargetMode="External"/><Relationship Id="rId211" Type="http://schemas.openxmlformats.org/officeDocument/2006/relationships/hyperlink" Target="https://pbs.twimg.com/media/DsjsoZMWoAAa6Pb.jpg" TargetMode="External"/><Relationship Id="rId295" Type="http://schemas.openxmlformats.org/officeDocument/2006/relationships/hyperlink" Target="https://pbs.twimg.com/media/Dsh7H7PWkAA487S.jpg" TargetMode="External"/><Relationship Id="rId309" Type="http://schemas.openxmlformats.org/officeDocument/2006/relationships/hyperlink" Target="https://www.instagram.com/_softc0re/" TargetMode="External"/><Relationship Id="rId516" Type="http://schemas.openxmlformats.org/officeDocument/2006/relationships/hyperlink" Target="https://pbs.twimg.com/media/DsZp2icWwAA0GRY.jpg" TargetMode="External"/><Relationship Id="rId1146" Type="http://schemas.openxmlformats.org/officeDocument/2006/relationships/hyperlink" Target="https://www.esdiario.com/57810280/Dani-Mateo-la-emprende-ahora-con-Santiago-Abascal-y-Jorge-Javier-le-para-los-pie.html" TargetMode="External"/><Relationship Id="rId1798" Type="http://schemas.openxmlformats.org/officeDocument/2006/relationships/hyperlink" Target="https://pbs.twimg.com/media/Dr9yeqIXcAAJOSA.jpg" TargetMode="External"/><Relationship Id="rId1921" Type="http://schemas.openxmlformats.org/officeDocument/2006/relationships/hyperlink" Target="https://twitter.com/lbalcarce/status/1051841151748239360" TargetMode="External"/><Relationship Id="rId723" Type="http://schemas.openxmlformats.org/officeDocument/2006/relationships/hyperlink" Target="https://pbs.twimg.com/media/DsT5D42WoAElaaj.jpg" TargetMode="External"/><Relationship Id="rId930" Type="http://schemas.openxmlformats.org/officeDocument/2006/relationships/hyperlink" Target="http://ww.cope.es/q06po2" TargetMode="External"/><Relationship Id="rId1006" Type="http://schemas.openxmlformats.org/officeDocument/2006/relationships/hyperlink" Target="http://apolopost.com/" TargetMode="External"/><Relationship Id="rId1353" Type="http://schemas.openxmlformats.org/officeDocument/2006/relationships/hyperlink" Target="https://twitter.com/NickyMarquez1/status/1062962525145325574" TargetMode="External"/><Relationship Id="rId1560" Type="http://schemas.openxmlformats.org/officeDocument/2006/relationships/hyperlink" Target="https://www.laverdad.es/murcia/abascal-pide-dimision-20181114201521-nt.html" TargetMode="External"/><Relationship Id="rId1658" Type="http://schemas.openxmlformats.org/officeDocument/2006/relationships/hyperlink" Target="http://www.outono.net/elentir/2018/11/14/matones-comunistas-amenazan-de-muerte-a-simpatizantes-de-vox-y-de-hazteoir-en-murcia/" TargetMode="External"/><Relationship Id="rId1865" Type="http://schemas.openxmlformats.org/officeDocument/2006/relationships/hyperlink" Target="http://pasionxespa&#241;a.es/" TargetMode="External"/><Relationship Id="rId155" Type="http://schemas.openxmlformats.org/officeDocument/2006/relationships/hyperlink" Target="http://www.bitmomentum.com/" TargetMode="External"/><Relationship Id="rId362" Type="http://schemas.openxmlformats.org/officeDocument/2006/relationships/hyperlink" Target="https://pbs.twimg.com/media/Dseb3ywUUAA7Nkc.jpg" TargetMode="External"/><Relationship Id="rId1213" Type="http://schemas.openxmlformats.org/officeDocument/2006/relationships/hyperlink" Target="https://www.diaribalear.es/un-patriotismo-a-la-americana-esta-germinado-con-gran-vigor-en-espana/" TargetMode="External"/><Relationship Id="rId1297" Type="http://schemas.openxmlformats.org/officeDocument/2006/relationships/hyperlink" Target="http://www.periodistadigital.com/periodismo/tv/2018/11/15/abascal-estalla-y-emite-un-demoledor-video-contra-ferreras-y-la-manipulacion-de-lasexta.shtml" TargetMode="External"/><Relationship Id="rId1420" Type="http://schemas.openxmlformats.org/officeDocument/2006/relationships/hyperlink" Target="http://www.ilastec.com/" TargetMode="External"/><Relationship Id="rId1518" Type="http://schemas.openxmlformats.org/officeDocument/2006/relationships/hyperlink" Target="https://twitter.com/vox_es/status/1062873815246688256?s=09" TargetMode="External"/><Relationship Id="rId2043" Type="http://schemas.openxmlformats.org/officeDocument/2006/relationships/hyperlink" Target="https://pbs.twimg.com/media/Dr44K_HU8AAnbtc.jpg" TargetMode="External"/><Relationship Id="rId222" Type="http://schemas.openxmlformats.org/officeDocument/2006/relationships/hyperlink" Target="https://pbs.twimg.com/media/DsjCFhYXoAAR9nA.jpg" TargetMode="External"/><Relationship Id="rId667" Type="http://schemas.openxmlformats.org/officeDocument/2006/relationships/hyperlink" Target="https://www.instagram.com/p/BqVmp0VAtGw/?utm_source=ig_share_sheet&amp;igshid=ke6oske42pgq" TargetMode="External"/><Relationship Id="rId874" Type="http://schemas.openxmlformats.org/officeDocument/2006/relationships/hyperlink" Target="https://twitter.com/Santi_ABASCAL/status/1063817852459847680" TargetMode="External"/><Relationship Id="rId1725" Type="http://schemas.openxmlformats.org/officeDocument/2006/relationships/hyperlink" Target="http://pic.twitter.com/2zVgJ1EmuG" TargetMode="External"/><Relationship Id="rId1932" Type="http://schemas.openxmlformats.org/officeDocument/2006/relationships/hyperlink" Target="http://elblogdeostinus77.wordpress.com/" TargetMode="External"/><Relationship Id="rId17" Type="http://schemas.openxmlformats.org/officeDocument/2006/relationships/hyperlink" Target="https://twitter.com/liberal_mirada/status/1065698331777802240" TargetMode="External"/><Relationship Id="rId527" Type="http://schemas.openxmlformats.org/officeDocument/2006/relationships/hyperlink" Target="http://granadah.info/z7j1k1" TargetMode="External"/><Relationship Id="rId734" Type="http://schemas.openxmlformats.org/officeDocument/2006/relationships/hyperlink" Target="https://pbs.twimg.com/media/DsOlUDvWwAAXKUI.jpg" TargetMode="External"/><Relationship Id="rId941" Type="http://schemas.openxmlformats.org/officeDocument/2006/relationships/hyperlink" Target="https://www.instagram.com/p/BqSMnJPnZbb6cgHuEN6vTSv6I_zU1_l7TaYsZM0/?utm_source=ig_twitter_share&amp;igshid=1nqg40x4gqhdp" TargetMode="External"/><Relationship Id="rId1157" Type="http://schemas.openxmlformats.org/officeDocument/2006/relationships/hyperlink" Target="https://pbs.twimg.com/media/DsH2SMRW0AAAZ-o.jpg" TargetMode="External"/><Relationship Id="rId1364" Type="http://schemas.openxmlformats.org/officeDocument/2006/relationships/hyperlink" Target="https://pbs.twimg.com/media/DsEKrZjWoAEmc8W.jpg" TargetMode="External"/><Relationship Id="rId1571" Type="http://schemas.openxmlformats.org/officeDocument/2006/relationships/hyperlink" Target="http://www.bitmomentum.com/" TargetMode="External"/><Relationship Id="rId70" Type="http://schemas.openxmlformats.org/officeDocument/2006/relationships/hyperlink" Target="http://www.bitmomentum.com/" TargetMode="External"/><Relationship Id="rId166" Type="http://schemas.openxmlformats.org/officeDocument/2006/relationships/hyperlink" Target="https://twitter.com/manuperez2002/status/1064935225812283394" TargetMode="External"/><Relationship Id="rId373" Type="http://schemas.openxmlformats.org/officeDocument/2006/relationships/hyperlink" Target="https://twitter.com/bcnisnotcat_/status/1064919491598041089" TargetMode="External"/><Relationship Id="rId580" Type="http://schemas.openxmlformats.org/officeDocument/2006/relationships/hyperlink" Target="https://lorrysfoto.wordpress.com/prensa/" TargetMode="External"/><Relationship Id="rId801" Type="http://schemas.openxmlformats.org/officeDocument/2006/relationships/hyperlink" Target="http://pic.twitter.com/kcPBAabpkc" TargetMode="External"/><Relationship Id="rId1017" Type="http://schemas.openxmlformats.org/officeDocument/2006/relationships/hyperlink" Target="https://pbs.twimg.com/media/DsKaWGvW0AAJGQQ.jpg" TargetMode="External"/><Relationship Id="rId1224" Type="http://schemas.openxmlformats.org/officeDocument/2006/relationships/hyperlink" Target="https://pbs.twimg.com/media/DsG3SY7WoAAkVaj.jpg" TargetMode="External"/><Relationship Id="rId1431" Type="http://schemas.openxmlformats.org/officeDocument/2006/relationships/hyperlink" Target="http://pic.twitter.com/U4VNtviqdA" TargetMode="External"/><Relationship Id="rId1669" Type="http://schemas.openxmlformats.org/officeDocument/2006/relationships/hyperlink" Target="http://pic.twitter.com/spH3Y8whOx" TargetMode="External"/><Relationship Id="rId1876" Type="http://schemas.openxmlformats.org/officeDocument/2006/relationships/hyperlink" Target="https://www.laverdad.es/murcia/rebelado-dictadura-correccion-20181114011046-ntvo.html" TargetMode="External"/><Relationship Id="rId2054" Type="http://schemas.openxmlformats.org/officeDocument/2006/relationships/hyperlink" Target="http://pic.twitter.com/Wqbh8JuDnw" TargetMode="External"/><Relationship Id="rId1" Type="http://schemas.openxmlformats.org/officeDocument/2006/relationships/hyperlink" Target="https://twitter.com/GPinar_Pena/status/1065970912237883392" TargetMode="External"/><Relationship Id="rId233" Type="http://schemas.openxmlformats.org/officeDocument/2006/relationships/hyperlink" Target="https://pbs.twimg.com/media/DsjYNpHXQAAacDf.jpg" TargetMode="External"/><Relationship Id="rId440" Type="http://schemas.openxmlformats.org/officeDocument/2006/relationships/hyperlink" Target="https://pbs.twimg.com/media/DsdhT9XWwAIUMaG.jpg" TargetMode="External"/><Relationship Id="rId678" Type="http://schemas.openxmlformats.org/officeDocument/2006/relationships/hyperlink" Target="http://pic.twitter.com/gBDP6yifVm" TargetMode="External"/><Relationship Id="rId885" Type="http://schemas.openxmlformats.org/officeDocument/2006/relationships/hyperlink" Target="http://pic.twitter.com/tulweAtQzg" TargetMode="External"/><Relationship Id="rId1070" Type="http://schemas.openxmlformats.org/officeDocument/2006/relationships/hyperlink" Target="https://pbs.twimg.com/media/DsJjGCqXoAAVQXY.jpg" TargetMode="External"/><Relationship Id="rId1529" Type="http://schemas.openxmlformats.org/officeDocument/2006/relationships/hyperlink" Target="https://pbs.twimg.com/media/DsCDYtIXQAEgW9T.jpg" TargetMode="External"/><Relationship Id="rId1736" Type="http://schemas.openxmlformats.org/officeDocument/2006/relationships/hyperlink" Target="http://pic.twitter.com/2g0d4cpK62" TargetMode="External"/><Relationship Id="rId1943" Type="http://schemas.openxmlformats.org/officeDocument/2006/relationships/hyperlink" Target="http://www.bitmomentum.com/" TargetMode="External"/><Relationship Id="rId28" Type="http://schemas.openxmlformats.org/officeDocument/2006/relationships/hyperlink" Target="https://www.abc.es/espana/abci-crece-alarma-pp-y-ciudadanos-subida-andalucia-201811230403_noticia_amp.html" TargetMode="External"/><Relationship Id="rId300" Type="http://schemas.openxmlformats.org/officeDocument/2006/relationships/hyperlink" Target="https://twitter.com/PPopular/status/1065179372133335040" TargetMode="External"/><Relationship Id="rId538" Type="http://schemas.openxmlformats.org/officeDocument/2006/relationships/hyperlink" Target="http://www.europasur.es/" TargetMode="External"/><Relationship Id="rId745" Type="http://schemas.openxmlformats.org/officeDocument/2006/relationships/hyperlink" Target="https://twitter.com/Cowboyenparo/status/1064103483304017920" TargetMode="External"/><Relationship Id="rId952" Type="http://schemas.openxmlformats.org/officeDocument/2006/relationships/hyperlink" Target="https://instagram.com/eranth_red/" TargetMode="External"/><Relationship Id="rId1168" Type="http://schemas.openxmlformats.org/officeDocument/2006/relationships/hyperlink" Target="http://pic.twitter.com/f7SH7a5OF0" TargetMode="External"/><Relationship Id="rId1375" Type="http://schemas.openxmlformats.org/officeDocument/2006/relationships/hyperlink" Target="https://www.periodistadigital.com/periodismo/tv/2018/11/15/abascal-estalla-y-emite-un-demoledor-video-contra-ferreras-y-la-manipulacion-de-lasexta.shtml" TargetMode="External"/><Relationship Id="rId1582" Type="http://schemas.openxmlformats.org/officeDocument/2006/relationships/hyperlink" Target="https://www.libertaddigital.com/espana/2018-11-14/ultras-de-izquierda-boicotean-el-acto-de-vox-en-murcia-os-mataremos-como-en-paracuellos-1276628249/" TargetMode="External"/><Relationship Id="rId1803" Type="http://schemas.openxmlformats.org/officeDocument/2006/relationships/hyperlink" Target="http://www.rivasactual.com/" TargetMode="External"/><Relationship Id="rId81" Type="http://schemas.openxmlformats.org/officeDocument/2006/relationships/hyperlink" Target="https://twitter.com/Anonymus_ES/status/1065212198836940800" TargetMode="External"/><Relationship Id="rId177" Type="http://schemas.openxmlformats.org/officeDocument/2006/relationships/hyperlink" Target="https://pbs.twimg.com/media/Dseb3ywUUAA7Nkc.jpg" TargetMode="External"/><Relationship Id="rId384" Type="http://schemas.openxmlformats.org/officeDocument/2006/relationships/hyperlink" Target="https://twitter.com/clubdeviernes/status/1064610639082151936" TargetMode="External"/><Relationship Id="rId591" Type="http://schemas.openxmlformats.org/officeDocument/2006/relationships/hyperlink" Target="https://twitter.com/Armandoablanco/status/1064453759533764608" TargetMode="External"/><Relationship Id="rId605" Type="http://schemas.openxmlformats.org/officeDocument/2006/relationships/hyperlink" Target="https://pbs.twimg.com/media/DsX2kckWkAE1D5b.png" TargetMode="External"/><Relationship Id="rId812" Type="http://schemas.openxmlformats.org/officeDocument/2006/relationships/hyperlink" Target="http://www.thesecretsociety.es/" TargetMode="External"/><Relationship Id="rId1028" Type="http://schemas.openxmlformats.org/officeDocument/2006/relationships/hyperlink" Target="https://pbs.twimg.com/media/DsKaUEcW0AA8utZ.jpg" TargetMode="External"/><Relationship Id="rId1235" Type="http://schemas.openxmlformats.org/officeDocument/2006/relationships/hyperlink" Target="https://www.diaribalear.es/espana-no-es-rojo-tezanos-espana-es-verde-esperanza-una-esperanza-llamada-vox/" TargetMode="External"/><Relationship Id="rId1442" Type="http://schemas.openxmlformats.org/officeDocument/2006/relationships/hyperlink" Target="https://www.youtube.com/channel/UCzAeV22GnQxwUBokDOEyb4A" TargetMode="External"/><Relationship Id="rId1887" Type="http://schemas.openxmlformats.org/officeDocument/2006/relationships/hyperlink" Target="https://pbs.twimg.com/media/Dr8U5ttWkAASeiB.jpg" TargetMode="External"/><Relationship Id="rId2065" Type="http://schemas.openxmlformats.org/officeDocument/2006/relationships/hyperlink" Target="https://twitter.com/CasoAislado_Es/status/1062116965706276864" TargetMode="External"/><Relationship Id="rId244" Type="http://schemas.openxmlformats.org/officeDocument/2006/relationships/hyperlink" Target="https://pbs.twimg.com/media/Dsi-DzrWkAYBu2l.jpg" TargetMode="External"/><Relationship Id="rId689" Type="http://schemas.openxmlformats.org/officeDocument/2006/relationships/hyperlink" Target="http://www.elcorreodemadrid.com/" TargetMode="External"/><Relationship Id="rId896" Type="http://schemas.openxmlformats.org/officeDocument/2006/relationships/hyperlink" Target="https://twitter.com/WillyTolerdoo/status/1063758379125010432" TargetMode="External"/><Relationship Id="rId1081" Type="http://schemas.openxmlformats.org/officeDocument/2006/relationships/hyperlink" Target="http://forosevillanuestra.blogspot.com/" TargetMode="External"/><Relationship Id="rId1302" Type="http://schemas.openxmlformats.org/officeDocument/2006/relationships/hyperlink" Target="https://twitter.com/Santi_ABASCAL/status/1063066152648228866?s=09" TargetMode="External"/><Relationship Id="rId1747" Type="http://schemas.openxmlformats.org/officeDocument/2006/relationships/hyperlink" Target="https://pbs.twimg.com/media/Dr-0zlCXgAISVbV.jpg" TargetMode="External"/><Relationship Id="rId1954" Type="http://schemas.openxmlformats.org/officeDocument/2006/relationships/hyperlink" Target="https://pbs.twimg.com/media/Dr6SdItWwAEK4u6.jpg" TargetMode="External"/><Relationship Id="rId39" Type="http://schemas.openxmlformats.org/officeDocument/2006/relationships/hyperlink" Target="http://youtu.be/iwoDnAGVszA?a" TargetMode="External"/><Relationship Id="rId451" Type="http://schemas.openxmlformats.org/officeDocument/2006/relationships/hyperlink" Target="https://pbs.twimg.com/media/DsdNTUJXcAA_CF2.jpg" TargetMode="External"/><Relationship Id="rId549" Type="http://schemas.openxmlformats.org/officeDocument/2006/relationships/hyperlink" Target="https://pbs.twimg.com/media/DsZMsz2XgAYGdBi.jpg" TargetMode="External"/><Relationship Id="rId756" Type="http://schemas.openxmlformats.org/officeDocument/2006/relationships/hyperlink" Target="https://pbs.twimg.com/media/DsTLGaPXoAADVZQ.jpg" TargetMode="External"/><Relationship Id="rId1179" Type="http://schemas.openxmlformats.org/officeDocument/2006/relationships/hyperlink" Target="http://www.voxespana.es/" TargetMode="External"/><Relationship Id="rId1386" Type="http://schemas.openxmlformats.org/officeDocument/2006/relationships/hyperlink" Target="https://pbs.twimg.com/media/DsD-2AiXQAATT_8.jpg" TargetMode="External"/><Relationship Id="rId1593" Type="http://schemas.openxmlformats.org/officeDocument/2006/relationships/hyperlink" Target="http://pic.twitter.com/Gygotr1kDR" TargetMode="External"/><Relationship Id="rId1607" Type="http://schemas.openxmlformats.org/officeDocument/2006/relationships/hyperlink" Target="http://www.bitmomentum.com/" TargetMode="External"/><Relationship Id="rId1814" Type="http://schemas.openxmlformats.org/officeDocument/2006/relationships/hyperlink" Target="http://www.bitmomentum.com/" TargetMode="External"/><Relationship Id="rId104" Type="http://schemas.openxmlformats.org/officeDocument/2006/relationships/hyperlink" Target="https://niebladebrandoni.blogspot.com.es/?m=1" TargetMode="External"/><Relationship Id="rId188" Type="http://schemas.openxmlformats.org/officeDocument/2006/relationships/hyperlink" Target="https://twitter.com/vox_es/status/1065263430871982080" TargetMode="External"/><Relationship Id="rId311" Type="http://schemas.openxmlformats.org/officeDocument/2006/relationships/hyperlink" Target="http://pic.twitter.com/Jt1kj5mXLf" TargetMode="External"/><Relationship Id="rId395" Type="http://schemas.openxmlformats.org/officeDocument/2006/relationships/hyperlink" Target="http://topinfluencers.es/" TargetMode="External"/><Relationship Id="rId409" Type="http://schemas.openxmlformats.org/officeDocument/2006/relationships/hyperlink" Target="https://pbs.twimg.com/media/DseWXTcXQAUhISe.jpg" TargetMode="External"/><Relationship Id="rId963" Type="http://schemas.openxmlformats.org/officeDocument/2006/relationships/hyperlink" Target="https://pbs.twimg.com/media/DsM5PN5X4AA84rx.jpg" TargetMode="External"/><Relationship Id="rId1039" Type="http://schemas.openxmlformats.org/officeDocument/2006/relationships/hyperlink" Target="https://twitter.com/canasporespana/status/1063521608978055169" TargetMode="External"/><Relationship Id="rId1246" Type="http://schemas.openxmlformats.org/officeDocument/2006/relationships/hyperlink" Target="https://youtu.be/vCzgGgIgofk" TargetMode="External"/><Relationship Id="rId1898" Type="http://schemas.openxmlformats.org/officeDocument/2006/relationships/hyperlink" Target="http://www.bitmomentum.com/" TargetMode="External"/><Relationship Id="rId92" Type="http://schemas.openxmlformats.org/officeDocument/2006/relationships/hyperlink" Target="http://lupedelavallina.com/" TargetMode="External"/><Relationship Id="rId616" Type="http://schemas.openxmlformats.org/officeDocument/2006/relationships/hyperlink" Target="http://www.voxespana.es/" TargetMode="External"/><Relationship Id="rId823" Type="http://schemas.openxmlformats.org/officeDocument/2006/relationships/hyperlink" Target="http://pic.twitter.com/HkvjBBXboZ" TargetMode="External"/><Relationship Id="rId1453" Type="http://schemas.openxmlformats.org/officeDocument/2006/relationships/hyperlink" Target="http://www.institutoatlanticodegobierno.org/" TargetMode="External"/><Relationship Id="rId1660" Type="http://schemas.openxmlformats.org/officeDocument/2006/relationships/hyperlink" Target="http://www.bitmomentum.com/" TargetMode="External"/><Relationship Id="rId1758" Type="http://schemas.openxmlformats.org/officeDocument/2006/relationships/hyperlink" Target="https://www.larazon.es/espana/zasca-de-abascal-a-rufian-por-llamarle-senorito-en-el-video-que-reconquista-andalucia-a-caballo-JH20508405" TargetMode="External"/><Relationship Id="rId255" Type="http://schemas.openxmlformats.org/officeDocument/2006/relationships/hyperlink" Target="https://pbs.twimg.com/media/Dsi9qMdWkAALS2F.jpg" TargetMode="External"/><Relationship Id="rId462" Type="http://schemas.openxmlformats.org/officeDocument/2006/relationships/hyperlink" Target="https://pbs.twimg.com/media/DscvZoeWwAEfVwi.jpg" TargetMode="External"/><Relationship Id="rId1092" Type="http://schemas.openxmlformats.org/officeDocument/2006/relationships/hyperlink" Target="https://www.youtube.com/watch?v=bzizktj5EG0&amp;index=1&amp;list=PLWj3rMTCrVm8QZNVFhebebrzm-BPZS20J" TargetMode="External"/><Relationship Id="rId1106" Type="http://schemas.openxmlformats.org/officeDocument/2006/relationships/hyperlink" Target="https://twitter.com/aparachiqui/status/1063372218535694342" TargetMode="External"/><Relationship Id="rId1313" Type="http://schemas.openxmlformats.org/officeDocument/2006/relationships/hyperlink" Target="http://www.bitmomentum.com/" TargetMode="External"/><Relationship Id="rId1397" Type="http://schemas.openxmlformats.org/officeDocument/2006/relationships/hyperlink" Target="https://m.facebook.com/story.php?story_fbid=1647938781978203&amp;id=467127060059387" TargetMode="External"/><Relationship Id="rId1520" Type="http://schemas.openxmlformats.org/officeDocument/2006/relationships/hyperlink" Target="http://pic.twitter.com/vp5vPXR9s1" TargetMode="External"/><Relationship Id="rId1965" Type="http://schemas.openxmlformats.org/officeDocument/2006/relationships/hyperlink" Target="http://www.bitmomentum.com/" TargetMode="External"/><Relationship Id="rId115" Type="http://schemas.openxmlformats.org/officeDocument/2006/relationships/hyperlink" Target="http://l.facebook.com/l.php?u=http%3A%2F%2Fsergialex53.wix.com%2Fsvclaret1415&amp;h=sAQE5L46l&amp;s=1" TargetMode="External"/><Relationship Id="rId322" Type="http://schemas.openxmlformats.org/officeDocument/2006/relationships/hyperlink" Target="https://pbs.twimg.com/media/DshIWTTXgAA1fIS.jpg" TargetMode="External"/><Relationship Id="rId767" Type="http://schemas.openxmlformats.org/officeDocument/2006/relationships/hyperlink" Target="https://twitter.com/juralde/status/1063906201241640960" TargetMode="External"/><Relationship Id="rId974" Type="http://schemas.openxmlformats.org/officeDocument/2006/relationships/hyperlink" Target="https://pbs.twimg.com/media/DsMzJYpWwAAaRCG.jpg" TargetMode="External"/><Relationship Id="rId1618" Type="http://schemas.openxmlformats.org/officeDocument/2006/relationships/hyperlink" Target="http://pic.twitter.com/j8S6LTd58t" TargetMode="External"/><Relationship Id="rId1825" Type="http://schemas.openxmlformats.org/officeDocument/2006/relationships/hyperlink" Target="http://www.eldiario.es/murcia/" TargetMode="External"/><Relationship Id="rId2003" Type="http://schemas.openxmlformats.org/officeDocument/2006/relationships/hyperlink" Target="http://www.bitmomentum.com/" TargetMode="External"/><Relationship Id="rId199" Type="http://schemas.openxmlformats.org/officeDocument/2006/relationships/hyperlink" Target="https://youtu.be/RaSIX4-RPAI" TargetMode="External"/><Relationship Id="rId627" Type="http://schemas.openxmlformats.org/officeDocument/2006/relationships/hyperlink" Target="http://www.banquilleros.com/" TargetMode="External"/><Relationship Id="rId834" Type="http://schemas.openxmlformats.org/officeDocument/2006/relationships/hyperlink" Target="https://pbs.twimg.com/media/DsQs-dxWoAAPgq6.jpg" TargetMode="External"/><Relationship Id="rId1257" Type="http://schemas.openxmlformats.org/officeDocument/2006/relationships/hyperlink" Target="http://twitch.tv/ald3ano" TargetMode="External"/><Relationship Id="rId1464" Type="http://schemas.openxmlformats.org/officeDocument/2006/relationships/hyperlink" Target="https://youtu.be/nKuTX3MaDzg" TargetMode="External"/><Relationship Id="rId1671" Type="http://schemas.openxmlformats.org/officeDocument/2006/relationships/hyperlink" Target="http://pic.twitter.com/LFtbQf0446" TargetMode="External"/><Relationship Id="rId266" Type="http://schemas.openxmlformats.org/officeDocument/2006/relationships/hyperlink" Target="http://pic.twitter.com/Gb6UkoCHVR" TargetMode="External"/><Relationship Id="rId473" Type="http://schemas.openxmlformats.org/officeDocument/2006/relationships/hyperlink" Target="http://www.voxespana.es/" TargetMode="External"/><Relationship Id="rId680" Type="http://schemas.openxmlformats.org/officeDocument/2006/relationships/hyperlink" Target="http://instagram.com/_juancar7" TargetMode="External"/><Relationship Id="rId901" Type="http://schemas.openxmlformats.org/officeDocument/2006/relationships/hyperlink" Target="https://letterboxd.com/sandroine" TargetMode="External"/><Relationship Id="rId1117" Type="http://schemas.openxmlformats.org/officeDocument/2006/relationships/hyperlink" Target="https://twitter.com/InesArrimadas/status/1063113624254902272" TargetMode="External"/><Relationship Id="rId1324" Type="http://schemas.openxmlformats.org/officeDocument/2006/relationships/hyperlink" Target="http://atres.red/l6cvj" TargetMode="External"/><Relationship Id="rId1531" Type="http://schemas.openxmlformats.org/officeDocument/2006/relationships/hyperlink" Target="http://www.outono.net/elentir/2018/11/14/matones-comunistas-amenazan-de-muerte-a-simpatizantes-de-vox-y-de-hazteoir-en-murcia/" TargetMode="External"/><Relationship Id="rId1769" Type="http://schemas.openxmlformats.org/officeDocument/2006/relationships/hyperlink" Target="https://twitter.com/Alvisepf/status/1062416831288360960" TargetMode="External"/><Relationship Id="rId1976" Type="http://schemas.openxmlformats.org/officeDocument/2006/relationships/hyperlink" Target="http://instagram.com/revol_es" TargetMode="External"/><Relationship Id="rId30" Type="http://schemas.openxmlformats.org/officeDocument/2006/relationships/hyperlink" Target="https://twitter.com/Santi_ABASCAL/status/1065742887315546118" TargetMode="External"/><Relationship Id="rId126" Type="http://schemas.openxmlformats.org/officeDocument/2006/relationships/hyperlink" Target="http://www.bitmomentum.com/" TargetMode="External"/><Relationship Id="rId333" Type="http://schemas.openxmlformats.org/officeDocument/2006/relationships/hyperlink" Target="https://www.abc.es/sociedad/abci-generalitat-reconoce-nunca-tenido-intencion-cambiar-modelo-linguistico-aulas-201811210253_noticia.html" TargetMode="External"/><Relationship Id="rId540" Type="http://schemas.openxmlformats.org/officeDocument/2006/relationships/hyperlink" Target="http://www.diariodejerez.es/" TargetMode="External"/><Relationship Id="rId778" Type="http://schemas.openxmlformats.org/officeDocument/2006/relationships/hyperlink" Target="https://pbs.twimg.com/media/DsSs-VaX4AA49sg.png" TargetMode="External"/><Relationship Id="rId985" Type="http://schemas.openxmlformats.org/officeDocument/2006/relationships/hyperlink" Target="https://www.vozpopuli.com/_46fffdde" TargetMode="External"/><Relationship Id="rId1170" Type="http://schemas.openxmlformats.org/officeDocument/2006/relationships/hyperlink" Target="https://pbs.twimg.com/media/DsHrGDpW0AEPnOR.jpg" TargetMode="External"/><Relationship Id="rId1629" Type="http://schemas.openxmlformats.org/officeDocument/2006/relationships/hyperlink" Target="https://twitter.com/rubnpulido/status/1062773364073336839" TargetMode="External"/><Relationship Id="rId1836" Type="http://schemas.openxmlformats.org/officeDocument/2006/relationships/hyperlink" Target="http://www.voxespana.es/" TargetMode="External"/><Relationship Id="rId2014" Type="http://schemas.openxmlformats.org/officeDocument/2006/relationships/hyperlink" Target="http://www.bitmomentum.com/" TargetMode="External"/><Relationship Id="rId638" Type="http://schemas.openxmlformats.org/officeDocument/2006/relationships/hyperlink" Target="https://twitter.com/Santi_ABASCAL/status/1064183336254521345" TargetMode="External"/><Relationship Id="rId845" Type="http://schemas.openxmlformats.org/officeDocument/2006/relationships/hyperlink" Target="https://twitter.com/EqInvestigacion/status/1063863228520902658" TargetMode="External"/><Relationship Id="rId1030" Type="http://schemas.openxmlformats.org/officeDocument/2006/relationships/hyperlink" Target="https://pbs.twimg.com/media/DsKQOFxXgAc12C-.jpg" TargetMode="External"/><Relationship Id="rId1268" Type="http://schemas.openxmlformats.org/officeDocument/2006/relationships/hyperlink" Target="https://twitter.com/eljueves/status/1063023450049208320" TargetMode="External"/><Relationship Id="rId1475" Type="http://schemas.openxmlformats.org/officeDocument/2006/relationships/hyperlink" Target="https://pbs.twimg.com/media/DsC_ZBxX0AADvqZ.jpg" TargetMode="External"/><Relationship Id="rId1682" Type="http://schemas.openxmlformats.org/officeDocument/2006/relationships/hyperlink" Target="https://telegram.me/thespanisharmy" TargetMode="External"/><Relationship Id="rId1903" Type="http://schemas.openxmlformats.org/officeDocument/2006/relationships/hyperlink" Target="http://www.bitmomentum.com/" TargetMode="External"/><Relationship Id="rId277" Type="http://schemas.openxmlformats.org/officeDocument/2006/relationships/hyperlink" Target="http://pic.twitter.com/timCgsnVdS" TargetMode="External"/><Relationship Id="rId400" Type="http://schemas.openxmlformats.org/officeDocument/2006/relationships/hyperlink" Target="http://pic.twitter.com/F18eLKasbA" TargetMode="External"/><Relationship Id="rId484" Type="http://schemas.openxmlformats.org/officeDocument/2006/relationships/hyperlink" Target="https://pbs.twimg.com/media/DscH8iqWkAAvJKp.jpg" TargetMode="External"/><Relationship Id="rId705" Type="http://schemas.openxmlformats.org/officeDocument/2006/relationships/hyperlink" Target="http://youtu.be/GBDl0_cfm34?a" TargetMode="External"/><Relationship Id="rId1128" Type="http://schemas.openxmlformats.org/officeDocument/2006/relationships/hyperlink" Target="https://youtu.be/RaSIX4-RPAI" TargetMode="External"/><Relationship Id="rId1335" Type="http://schemas.openxmlformats.org/officeDocument/2006/relationships/hyperlink" Target="https://www.periodistadigital.com/periodismo/tv/2018/11/15/abascal-estalla-y-emite-un-demoledor-video-contra-ferreras-y-la-manipulacion-de-lasexta.shtml" TargetMode="External"/><Relationship Id="rId1542" Type="http://schemas.openxmlformats.org/officeDocument/2006/relationships/hyperlink" Target="https://youtu.be/npe7qut04G4" TargetMode="External"/><Relationship Id="rId1987" Type="http://schemas.openxmlformats.org/officeDocument/2006/relationships/hyperlink" Target="http://www.trecetv.es/video/?videoId=e-37831" TargetMode="External"/><Relationship Id="rId137" Type="http://schemas.openxmlformats.org/officeDocument/2006/relationships/hyperlink" Target="https://twitter.com/rosadiezglez/status/1065305148321349632" TargetMode="External"/><Relationship Id="rId344" Type="http://schemas.openxmlformats.org/officeDocument/2006/relationships/hyperlink" Target="https://youtu.be/LCuYDw3fBew" TargetMode="External"/><Relationship Id="rId691" Type="http://schemas.openxmlformats.org/officeDocument/2006/relationships/hyperlink" Target="https://todosondeos.blogspot.com/" TargetMode="External"/><Relationship Id="rId789" Type="http://schemas.openxmlformats.org/officeDocument/2006/relationships/hyperlink" Target="http://pic.twitter.com/6NPDwNAdPX" TargetMode="External"/><Relationship Id="rId912" Type="http://schemas.openxmlformats.org/officeDocument/2006/relationships/hyperlink" Target="http://www.voxespana.es/alicante" TargetMode="External"/><Relationship Id="rId996" Type="http://schemas.openxmlformats.org/officeDocument/2006/relationships/hyperlink" Target="https://twitter.com/IosuBilbao/status/1063040047631474689" TargetMode="External"/><Relationship Id="rId1847" Type="http://schemas.openxmlformats.org/officeDocument/2006/relationships/hyperlink" Target="http://www.bitmomentum.com/" TargetMode="External"/><Relationship Id="rId2025" Type="http://schemas.openxmlformats.org/officeDocument/2006/relationships/hyperlink" Target="http://www.voxespana.es/" TargetMode="External"/><Relationship Id="rId41" Type="http://schemas.openxmlformats.org/officeDocument/2006/relationships/hyperlink" Target="http://youtu.be/iwoDnAGVszA?a" TargetMode="External"/><Relationship Id="rId551" Type="http://schemas.openxmlformats.org/officeDocument/2006/relationships/hyperlink" Target="http://www.youtube.com/KralemHD" TargetMode="External"/><Relationship Id="rId649" Type="http://schemas.openxmlformats.org/officeDocument/2006/relationships/hyperlink" Target="http://www.voxespana.es/alicante" TargetMode="External"/><Relationship Id="rId856" Type="http://schemas.openxmlformats.org/officeDocument/2006/relationships/hyperlink" Target="https://www.youtube.com/watch?v=nKuTX3MaDzg" TargetMode="External"/><Relationship Id="rId1181" Type="http://schemas.openxmlformats.org/officeDocument/2006/relationships/hyperlink" Target="https://pbs.twimg.com/media/DsHVUXZXQAEunrX.jpg" TargetMode="External"/><Relationship Id="rId1279" Type="http://schemas.openxmlformats.org/officeDocument/2006/relationships/hyperlink" Target="http://ofmoonsbirdsandmonsters94.tumblr.com/" TargetMode="External"/><Relationship Id="rId1402" Type="http://schemas.openxmlformats.org/officeDocument/2006/relationships/hyperlink" Target="https://www.eldiario.es/murcia/politica/Abascal-Vox-Pablo-Iglesias-Murcia_0_836066688.html" TargetMode="External"/><Relationship Id="rId1486" Type="http://schemas.openxmlformats.org/officeDocument/2006/relationships/hyperlink" Target="https://youtu.be/Xn8ffK4c6QI" TargetMode="External"/><Relationship Id="rId1707" Type="http://schemas.openxmlformats.org/officeDocument/2006/relationships/hyperlink" Target="https://pbs.twimg.com/media/Dr_KUpsXcAAUwyx.jpg" TargetMode="External"/><Relationship Id="rId190" Type="http://schemas.openxmlformats.org/officeDocument/2006/relationships/hyperlink" Target="http://instagram.com/noquemecanso" TargetMode="External"/><Relationship Id="rId204" Type="http://schemas.openxmlformats.org/officeDocument/2006/relationships/hyperlink" Target="http://pic.twitter.com/KUGsqL5bRV" TargetMode="External"/><Relationship Id="rId288" Type="http://schemas.openxmlformats.org/officeDocument/2006/relationships/hyperlink" Target="https://pbs.twimg.com/media/Dseb3ywUUAA7Nkc.jpg" TargetMode="External"/><Relationship Id="rId411" Type="http://schemas.openxmlformats.org/officeDocument/2006/relationships/hyperlink" Target="https://pbs.twimg.com/media/DseWBZFXgAASZS4.jpg" TargetMode="External"/><Relationship Id="rId509" Type="http://schemas.openxmlformats.org/officeDocument/2006/relationships/hyperlink" Target="http://www.voxespana.es/huelva" TargetMode="External"/><Relationship Id="rId1041" Type="http://schemas.openxmlformats.org/officeDocument/2006/relationships/hyperlink" Target="http://www.bitmomentum.com/" TargetMode="External"/><Relationship Id="rId1139" Type="http://schemas.openxmlformats.org/officeDocument/2006/relationships/hyperlink" Target="http://www.institutoatlanticodegobierno.org/" TargetMode="External"/><Relationship Id="rId1346" Type="http://schemas.openxmlformats.org/officeDocument/2006/relationships/hyperlink" Target="http://www.letralibre.es/" TargetMode="External"/><Relationship Id="rId1693" Type="http://schemas.openxmlformats.org/officeDocument/2006/relationships/hyperlink" Target="http://pic.twitter.com/rULOGnP3w0" TargetMode="External"/><Relationship Id="rId1914" Type="http://schemas.openxmlformats.org/officeDocument/2006/relationships/hyperlink" Target="https://www.elplural.com/politica/magrebies-okupas-y-sarnosos-el-nuevo-lio-de-santi-abascal-en-twitter_206177102" TargetMode="External"/><Relationship Id="rId1998" Type="http://schemas.openxmlformats.org/officeDocument/2006/relationships/hyperlink" Target="https://pbs.twimg.com/media/Dr5jGRQWkAAGtgO.jpg" TargetMode="External"/><Relationship Id="rId495" Type="http://schemas.openxmlformats.org/officeDocument/2006/relationships/hyperlink" Target="http://www.tonteriaslasjustas.com/" TargetMode="External"/><Relationship Id="rId716" Type="http://schemas.openxmlformats.org/officeDocument/2006/relationships/hyperlink" Target="https://pbs.twimg.com/media/DsUAGZBWoAMuJcu.jpg" TargetMode="External"/><Relationship Id="rId923" Type="http://schemas.openxmlformats.org/officeDocument/2006/relationships/hyperlink" Target="https://pbs.twimg.com/media/DsNGZppWwAIdmkv.jpg" TargetMode="External"/><Relationship Id="rId1553" Type="http://schemas.openxmlformats.org/officeDocument/2006/relationships/hyperlink" Target="https://twitter.com/trendinaliaES/timelines/1062950566182051840" TargetMode="External"/><Relationship Id="rId1760" Type="http://schemas.openxmlformats.org/officeDocument/2006/relationships/hyperlink" Target="http://pic.twitter.com/fhLbtbLC3r" TargetMode="External"/><Relationship Id="rId1858" Type="http://schemas.openxmlformats.org/officeDocument/2006/relationships/hyperlink" Target="https://pbs.twimg.com/media/Dr83j9mXQAAk7GB.jpg" TargetMode="External"/><Relationship Id="rId52" Type="http://schemas.openxmlformats.org/officeDocument/2006/relationships/hyperlink" Target="https://pbs.twimg.com/media/DspZ1QTV4AAMg6i.jpg" TargetMode="External"/><Relationship Id="rId148" Type="http://schemas.openxmlformats.org/officeDocument/2006/relationships/hyperlink" Target="https://elpais.com/internacional/2018/11/21/mundo_global/1542806251_361993.html?id_externo_rsoc=FB_CM" TargetMode="External"/><Relationship Id="rId355" Type="http://schemas.openxmlformats.org/officeDocument/2006/relationships/hyperlink" Target="http://www.bitmomentum.com/" TargetMode="External"/><Relationship Id="rId562" Type="http://schemas.openxmlformats.org/officeDocument/2006/relationships/hyperlink" Target="https://pbs.twimg.com/media/DsYwSShXgAEwgVI.jpg" TargetMode="External"/><Relationship Id="rId1192" Type="http://schemas.openxmlformats.org/officeDocument/2006/relationships/hyperlink" Target="https://pbs.twimg.com/media/DsHVUXZXQAEunrX.jpg" TargetMode="External"/><Relationship Id="rId1206" Type="http://schemas.openxmlformats.org/officeDocument/2006/relationships/hyperlink" Target="http://www.aurorapalacios.com/" TargetMode="External"/><Relationship Id="rId1413" Type="http://schemas.openxmlformats.org/officeDocument/2006/relationships/hyperlink" Target="http://pic.twitter.com/vBDG5pgapj" TargetMode="External"/><Relationship Id="rId1620" Type="http://schemas.openxmlformats.org/officeDocument/2006/relationships/hyperlink" Target="https://twitter.com/cope_murcia/status/1062795843902861312" TargetMode="External"/><Relationship Id="rId2036" Type="http://schemas.openxmlformats.org/officeDocument/2006/relationships/hyperlink" Target="https://pbs.twimg.com/media/Dr4-pAHXQAULmY_.jpg" TargetMode="External"/><Relationship Id="rId215" Type="http://schemas.openxmlformats.org/officeDocument/2006/relationships/hyperlink" Target="https://youtu.be/pzKrJDeBuH8" TargetMode="External"/><Relationship Id="rId422" Type="http://schemas.openxmlformats.org/officeDocument/2006/relationships/hyperlink" Target="https://twitter.com/jordi_canyas/status/1064607712988852232" TargetMode="External"/><Relationship Id="rId867" Type="http://schemas.openxmlformats.org/officeDocument/2006/relationships/hyperlink" Target="https://pbs.twimg.com/media/DsOfXBBW0AAXZ9W.jpg" TargetMode="External"/><Relationship Id="rId1052" Type="http://schemas.openxmlformats.org/officeDocument/2006/relationships/hyperlink" Target="http://www.letralibre.es/" TargetMode="External"/><Relationship Id="rId1497" Type="http://schemas.openxmlformats.org/officeDocument/2006/relationships/hyperlink" Target="http://www.bitmomentum.com/" TargetMode="External"/><Relationship Id="rId1718" Type="http://schemas.openxmlformats.org/officeDocument/2006/relationships/hyperlink" Target="https://pbs.twimg.com/media/Dr_EyxaW4AA65xU.jpg" TargetMode="External"/><Relationship Id="rId1925" Type="http://schemas.openxmlformats.org/officeDocument/2006/relationships/hyperlink" Target="http://www.letralibre.es/" TargetMode="External"/><Relationship Id="rId299" Type="http://schemas.openxmlformats.org/officeDocument/2006/relationships/hyperlink" Target="https://www.elconfidencial.com/espana/andalucia/2015-03-25/esto-es-asi-si-el-psoe-no-gana-os-quedais-sin-trabajo-salid-a-la-calle-a-hacer-campana_734366/" TargetMode="External"/><Relationship Id="rId727" Type="http://schemas.openxmlformats.org/officeDocument/2006/relationships/hyperlink" Target="https://www.horasur.com/articulo/campo-de-gibraltar/santiago-abascal-pide-gobierno-comarca-deje-ser-rehen-pirata-picardo/20181118205558037294.html" TargetMode="External"/><Relationship Id="rId934" Type="http://schemas.openxmlformats.org/officeDocument/2006/relationships/hyperlink" Target="https://elenfurecido.wordpress.com/2018/11/04/encuesta-quien-es-tu-politico-favorito-de-vox/" TargetMode="External"/><Relationship Id="rId1357" Type="http://schemas.openxmlformats.org/officeDocument/2006/relationships/hyperlink" Target="http://pic.twitter.com/1tLSpbkLQK" TargetMode="External"/><Relationship Id="rId1564" Type="http://schemas.openxmlformats.org/officeDocument/2006/relationships/hyperlink" Target="http://www.bitmomentum.com/" TargetMode="External"/><Relationship Id="rId1771" Type="http://schemas.openxmlformats.org/officeDocument/2006/relationships/hyperlink" Target="https://www.voxespana.es/100medidas" TargetMode="External"/><Relationship Id="rId63" Type="http://schemas.openxmlformats.org/officeDocument/2006/relationships/hyperlink" Target="https://www.elconfidencial.com/elecciones-andalucia/2018-11-22/sevilla-acto-diaz-taxistas_1663806/" TargetMode="External"/><Relationship Id="rId159" Type="http://schemas.openxmlformats.org/officeDocument/2006/relationships/hyperlink" Target="https://casoaislado.com/santiago-abascal-los-primates-erc-no-deberian-estar-congreso-ilegalizar-las-organizaciones-golpistas/" TargetMode="External"/><Relationship Id="rId366" Type="http://schemas.openxmlformats.org/officeDocument/2006/relationships/hyperlink" Target="https://www.facebook.com/josealberto.rodriguezarroyo.9" TargetMode="External"/><Relationship Id="rId573" Type="http://schemas.openxmlformats.org/officeDocument/2006/relationships/hyperlink" Target="http://joseplcardo.wix.com/joseplcardophoto" TargetMode="External"/><Relationship Id="rId780" Type="http://schemas.openxmlformats.org/officeDocument/2006/relationships/hyperlink" Target="https://twitter.com/Inmmmmagine/status/1064160247160410112" TargetMode="External"/><Relationship Id="rId1217" Type="http://schemas.openxmlformats.org/officeDocument/2006/relationships/hyperlink" Target="http://pic.twitter.com/iSuzJneP4Y" TargetMode="External"/><Relationship Id="rId1424" Type="http://schemas.openxmlformats.org/officeDocument/2006/relationships/hyperlink" Target="http://pic.twitter.com/iSuzJneP4Y" TargetMode="External"/><Relationship Id="rId1631" Type="http://schemas.openxmlformats.org/officeDocument/2006/relationships/hyperlink" Target="https://mobile.twitter.com/Denna12_0/status/1050451122723450880" TargetMode="External"/><Relationship Id="rId1869" Type="http://schemas.openxmlformats.org/officeDocument/2006/relationships/hyperlink" Target="https://www.laopiniondemurcia.es/comunidad/2018/11/14/santiago-abascal-murcia-gran-pagana/971825.html" TargetMode="External"/><Relationship Id="rId2047" Type="http://schemas.openxmlformats.org/officeDocument/2006/relationships/hyperlink" Target="http://ww.cope.es/g2ven2" TargetMode="External"/><Relationship Id="rId226" Type="http://schemas.openxmlformats.org/officeDocument/2006/relationships/hyperlink" Target="http://www.bitmomentum.com/" TargetMode="External"/><Relationship Id="rId433" Type="http://schemas.openxmlformats.org/officeDocument/2006/relationships/hyperlink" Target="https://pbs.twimg.com/media/Dsdx01wWsAE3NcB.jpg" TargetMode="External"/><Relationship Id="rId878" Type="http://schemas.openxmlformats.org/officeDocument/2006/relationships/hyperlink" Target="http://www.cope.es/" TargetMode="External"/><Relationship Id="rId1063" Type="http://schemas.openxmlformats.org/officeDocument/2006/relationships/hyperlink" Target="http://pic.twitter.com/vyR3LWLDdt" TargetMode="External"/><Relationship Id="rId1270" Type="http://schemas.openxmlformats.org/officeDocument/2006/relationships/hyperlink" Target="https://twitter.com/santi_abascal/status/1063066152648228866" TargetMode="External"/><Relationship Id="rId1729" Type="http://schemas.openxmlformats.org/officeDocument/2006/relationships/hyperlink" Target="https://pbs.twimg.com/media/Dr_ApcoX4AAacTM.jpg" TargetMode="External"/><Relationship Id="rId1936" Type="http://schemas.openxmlformats.org/officeDocument/2006/relationships/hyperlink" Target="https://buff.ly/2DCK4QK" TargetMode="External"/><Relationship Id="rId640" Type="http://schemas.openxmlformats.org/officeDocument/2006/relationships/hyperlink" Target="http://www.outono.net/elentir/2018/11/19/17-ejemplos-de-votos-tirados-a-la-basura-que-al-pp-no-le-gustara-que-recordemos/" TargetMode="External"/><Relationship Id="rId738" Type="http://schemas.openxmlformats.org/officeDocument/2006/relationships/hyperlink" Target="https://twitter.com/DavidIbanez_13/status/1064202653016776705" TargetMode="External"/><Relationship Id="rId945" Type="http://schemas.openxmlformats.org/officeDocument/2006/relationships/hyperlink" Target="https://instagram.com/angel_esojo/" TargetMode="External"/><Relationship Id="rId1368" Type="http://schemas.openxmlformats.org/officeDocument/2006/relationships/hyperlink" Target="https://youtu.be/Vkq_FLg2uT0" TargetMode="External"/><Relationship Id="rId1575" Type="http://schemas.openxmlformats.org/officeDocument/2006/relationships/hyperlink" Target="http://opinionesextremas.blogspot.com/" TargetMode="External"/><Relationship Id="rId1782" Type="http://schemas.openxmlformats.org/officeDocument/2006/relationships/hyperlink" Target="https://pbs.twimg.com/media/DqM3FgbWsAER6HU.jpg" TargetMode="External"/><Relationship Id="rId74" Type="http://schemas.openxmlformats.org/officeDocument/2006/relationships/hyperlink" Target="http://instagram.com/_juancar7" TargetMode="External"/><Relationship Id="rId377" Type="http://schemas.openxmlformats.org/officeDocument/2006/relationships/hyperlink" Target="https://twitter.com/vox_es/status/1064966157189435392" TargetMode="External"/><Relationship Id="rId500" Type="http://schemas.openxmlformats.org/officeDocument/2006/relationships/hyperlink" Target="http://pic.twitter.com/LKuruj7yPq" TargetMode="External"/><Relationship Id="rId584" Type="http://schemas.openxmlformats.org/officeDocument/2006/relationships/hyperlink" Target="http://opinionesextremas.blogspot.com/" TargetMode="External"/><Relationship Id="rId805" Type="http://schemas.openxmlformats.org/officeDocument/2006/relationships/hyperlink" Target="https://instagram.com/angel_esojo/" TargetMode="External"/><Relationship Id="rId1130" Type="http://schemas.openxmlformats.org/officeDocument/2006/relationships/hyperlink" Target="https://www.periodistadigital.com/periodismo/tv/2018/11/15/abascal-estalla-y-emite-un-demoledor-video-contra-ferreras-y-la-manipulacion-de-lasexta.shtml" TargetMode="External"/><Relationship Id="rId1228" Type="http://schemas.openxmlformats.org/officeDocument/2006/relationships/hyperlink" Target="https://twitter.com/trendinaliaES/timelines/1063313007621492737" TargetMode="External"/><Relationship Id="rId1435" Type="http://schemas.openxmlformats.org/officeDocument/2006/relationships/hyperlink" Target="http://www.rosselloarrom.com/" TargetMode="External"/><Relationship Id="rId2058" Type="http://schemas.openxmlformats.org/officeDocument/2006/relationships/hyperlink" Target="http://pic.twitter.com/gbJHYNc7ox" TargetMode="External"/><Relationship Id="rId5" Type="http://schemas.openxmlformats.org/officeDocument/2006/relationships/hyperlink" Target="https://twitter.com/VCartama/status/1064985171466825728" TargetMode="External"/><Relationship Id="rId237" Type="http://schemas.openxmlformats.org/officeDocument/2006/relationships/hyperlink" Target="https://youtu.be/RaSIX4-RPAI" TargetMode="External"/><Relationship Id="rId791" Type="http://schemas.openxmlformats.org/officeDocument/2006/relationships/hyperlink" Target="https://pbs.twimg.com/media/DsSW39XX4AEqV8q.jpg" TargetMode="External"/><Relationship Id="rId889" Type="http://schemas.openxmlformats.org/officeDocument/2006/relationships/hyperlink" Target="http://pic.twitter.com/JvtjujIF52" TargetMode="External"/><Relationship Id="rId1074" Type="http://schemas.openxmlformats.org/officeDocument/2006/relationships/hyperlink" Target="https://twitter.com/duelelab/status/1063027344368111617" TargetMode="External"/><Relationship Id="rId1642" Type="http://schemas.openxmlformats.org/officeDocument/2006/relationships/hyperlink" Target="http://pic.twitter.com/9Vh1oUhNi7" TargetMode="External"/><Relationship Id="rId1947" Type="http://schemas.openxmlformats.org/officeDocument/2006/relationships/hyperlink" Target="https://youtu.be/5SnUCBYeiV4" TargetMode="External"/><Relationship Id="rId444" Type="http://schemas.openxmlformats.org/officeDocument/2006/relationships/hyperlink" Target="https://m.eldiario.es/politica/Cosido-Poder-Judicial-PSOE-PP_0_837467177.html" TargetMode="External"/><Relationship Id="rId651" Type="http://schemas.openxmlformats.org/officeDocument/2006/relationships/hyperlink" Target="https://twitter.com/GulagDark/status/1064186881578057728" TargetMode="External"/><Relationship Id="rId749" Type="http://schemas.openxmlformats.org/officeDocument/2006/relationships/hyperlink" Target="https://pbs.twimg.com/media/DsTWrZ1XQAAavvn.jpg" TargetMode="External"/><Relationship Id="rId1281" Type="http://schemas.openxmlformats.org/officeDocument/2006/relationships/hyperlink" Target="http://www.periodistadigital.com/periodismo/tv/2018/11/15/abascal-estalla-y-emite-un-demoledor-video-contra-ferreras-y-la-manipulacion-de-lasexta.shtml" TargetMode="External"/><Relationship Id="rId1379" Type="http://schemas.openxmlformats.org/officeDocument/2006/relationships/hyperlink" Target="https://www.periodistadigital.com/periodismo/tv/2018/11/15/abascal-estalla-y-emite-un-demoledor-video-contra-ferreras-y-la-manipulacion-de-lasexta.shtml" TargetMode="External"/><Relationship Id="rId1502" Type="http://schemas.openxmlformats.org/officeDocument/2006/relationships/hyperlink" Target="https://youtu.be/LmQ_3WODKOU" TargetMode="External"/><Relationship Id="rId1586" Type="http://schemas.openxmlformats.org/officeDocument/2006/relationships/hyperlink" Target="https://twitter.com/vox_es/status/1062799090260557824" TargetMode="External"/><Relationship Id="rId1807" Type="http://schemas.openxmlformats.org/officeDocument/2006/relationships/hyperlink" Target="http://dondiario.com/" TargetMode="External"/><Relationship Id="rId290" Type="http://schemas.openxmlformats.org/officeDocument/2006/relationships/hyperlink" Target="https://pbs.twimg.com/media/DsiJwU-X4AAbeU3.png" TargetMode="External"/><Relationship Id="rId304" Type="http://schemas.openxmlformats.org/officeDocument/2006/relationships/hyperlink" Target="https://pbs.twimg.com/media/Dseb3ywUUAA7Nkc.jpg" TargetMode="External"/><Relationship Id="rId388" Type="http://schemas.openxmlformats.org/officeDocument/2006/relationships/hyperlink" Target="https://twitter.com/zacefron/status/1064991224044707841" TargetMode="External"/><Relationship Id="rId511" Type="http://schemas.openxmlformats.org/officeDocument/2006/relationships/hyperlink" Target="https://www.youtube.com/channel/UCQ5QSoJnTf-w7DdIRMCsDyA" TargetMode="External"/><Relationship Id="rId609" Type="http://schemas.openxmlformats.org/officeDocument/2006/relationships/hyperlink" Target="https://pbs.twimg.com/media/DsWqiKGXoAAR3_o.jpg" TargetMode="External"/><Relationship Id="rId956" Type="http://schemas.openxmlformats.org/officeDocument/2006/relationships/hyperlink" Target="http://www.asociacionrayya.com/" TargetMode="External"/><Relationship Id="rId1141" Type="http://schemas.openxmlformats.org/officeDocument/2006/relationships/hyperlink" Target="http://www.elcorreodemadrid.com/" TargetMode="External"/><Relationship Id="rId1239" Type="http://schemas.openxmlformats.org/officeDocument/2006/relationships/hyperlink" Target="http://pic.twitter.com/2zVgJ1EmuG" TargetMode="External"/><Relationship Id="rId1793" Type="http://schemas.openxmlformats.org/officeDocument/2006/relationships/hyperlink" Target="https://pbs.twimg.com/media/Dr94p8WWkAAlSnH.jpg" TargetMode="External"/><Relationship Id="rId2069" Type="http://schemas.openxmlformats.org/officeDocument/2006/relationships/hyperlink" Target="http://www.101tv.es/" TargetMode="External"/><Relationship Id="rId85" Type="http://schemas.openxmlformats.org/officeDocument/2006/relationships/hyperlink" Target="http://foro.foronaranja.es/index.php" TargetMode="External"/><Relationship Id="rId150" Type="http://schemas.openxmlformats.org/officeDocument/2006/relationships/hyperlink" Target="http://www.bitmomentum.com/" TargetMode="External"/><Relationship Id="rId595" Type="http://schemas.openxmlformats.org/officeDocument/2006/relationships/hyperlink" Target="https://twitter.com/Portabales_Hijo/status/1064532227411849217" TargetMode="External"/><Relationship Id="rId816" Type="http://schemas.openxmlformats.org/officeDocument/2006/relationships/hyperlink" Target="https://youtu.be/RaSIX4-RPAI" TargetMode="External"/><Relationship Id="rId1001" Type="http://schemas.openxmlformats.org/officeDocument/2006/relationships/hyperlink" Target="https://twitter.com/GuajeSalvaje/status/1063447370824847361" TargetMode="External"/><Relationship Id="rId1446" Type="http://schemas.openxmlformats.org/officeDocument/2006/relationships/hyperlink" Target="https://www.youtube.com/channel/UCzAeV22GnQxwUBokDOEyb4A" TargetMode="External"/><Relationship Id="rId1653" Type="http://schemas.openxmlformats.org/officeDocument/2006/relationships/hyperlink" Target="https://youtu.be/RaSIX4-RPAI" TargetMode="External"/><Relationship Id="rId1860" Type="http://schemas.openxmlformats.org/officeDocument/2006/relationships/hyperlink" Target="https://www.youtube.com/watch?v=CzPw1AMoHaM" TargetMode="External"/><Relationship Id="rId248" Type="http://schemas.openxmlformats.org/officeDocument/2006/relationships/hyperlink" Target="https://youtu.be/vku6HJMDU60" TargetMode="External"/><Relationship Id="rId455" Type="http://schemas.openxmlformats.org/officeDocument/2006/relationships/hyperlink" Target="https://twitter.com/OdinT707/status/1064892657586049024" TargetMode="External"/><Relationship Id="rId662" Type="http://schemas.openxmlformats.org/officeDocument/2006/relationships/hyperlink" Target="http://pic.twitter.com/azWvfXDuCS" TargetMode="External"/><Relationship Id="rId1085" Type="http://schemas.openxmlformats.org/officeDocument/2006/relationships/hyperlink" Target="https://twitter.com/maledog88/status/1063504841287315456" TargetMode="External"/><Relationship Id="rId1292" Type="http://schemas.openxmlformats.org/officeDocument/2006/relationships/hyperlink" Target="https://www.youtube.com/channel/UCQ5QSoJnTf-w7DdIRMCsDyA" TargetMode="External"/><Relationship Id="rId1306" Type="http://schemas.openxmlformats.org/officeDocument/2006/relationships/hyperlink" Target="https://www.periodistadigital.com/periodismo/tv/2018/11/15/abascal-estalla-y-emite-un-demoledor-video-contra-ferreras-y-la-manipulacion-de-lasexta.shtml" TargetMode="External"/><Relationship Id="rId1513" Type="http://schemas.openxmlformats.org/officeDocument/2006/relationships/hyperlink" Target="https://pbs.twimg.com/media/DsCbn1RW4AAyGcO.jpg" TargetMode="External"/><Relationship Id="rId1720" Type="http://schemas.openxmlformats.org/officeDocument/2006/relationships/hyperlink" Target="http://pic.twitter.com/JlSmRSAwhX" TargetMode="External"/><Relationship Id="rId1958" Type="http://schemas.openxmlformats.org/officeDocument/2006/relationships/hyperlink" Target="https://pbs.twimg.com/media/Dr6OUxhXQAEmc8n.jpg" TargetMode="External"/><Relationship Id="rId12" Type="http://schemas.openxmlformats.org/officeDocument/2006/relationships/hyperlink" Target="https://pbs.twimg.com/media/DssQTLhXgAU885H.jpg" TargetMode="External"/><Relationship Id="rId108" Type="http://schemas.openxmlformats.org/officeDocument/2006/relationships/hyperlink" Target="http://www.bitmomentum.com/" TargetMode="External"/><Relationship Id="rId315" Type="http://schemas.openxmlformats.org/officeDocument/2006/relationships/hyperlink" Target="https://www.publico.es/politica/ciudadanos-rivera-cierra-banda-tres-ocasiones-no-decir-vox-extrema-derecha.html" TargetMode="External"/><Relationship Id="rId522" Type="http://schemas.openxmlformats.org/officeDocument/2006/relationships/hyperlink" Target="https://elmetropolitanodemadrid.blogspot.com/2018/11/una-madre-tiene-que-dormir-con-su-hijo.html?m=1" TargetMode="External"/><Relationship Id="rId967" Type="http://schemas.openxmlformats.org/officeDocument/2006/relationships/hyperlink" Target="https://pbs.twimg.com/media/DsM3Z1wXgAAS9I1.jpg" TargetMode="External"/><Relationship Id="rId1152" Type="http://schemas.openxmlformats.org/officeDocument/2006/relationships/hyperlink" Target="http://ow.ly/RjtV30mDOTa" TargetMode="External"/><Relationship Id="rId1597" Type="http://schemas.openxmlformats.org/officeDocument/2006/relationships/hyperlink" Target="https://m.facebook.com/?_rdr" TargetMode="External"/><Relationship Id="rId1818" Type="http://schemas.openxmlformats.org/officeDocument/2006/relationships/hyperlink" Target="http://pic.twitter.com/cFkckbr7Uu" TargetMode="External"/><Relationship Id="rId96" Type="http://schemas.openxmlformats.org/officeDocument/2006/relationships/hyperlink" Target="https://amp.elmundo.es/internacional/2018/11/22/5bf6b01b468aeb352a8b463a.html" TargetMode="External"/><Relationship Id="rId161" Type="http://schemas.openxmlformats.org/officeDocument/2006/relationships/hyperlink" Target="https://pbs.twimg.com/media/Dsl0HMdXoAEFNqi.jpg" TargetMode="External"/><Relationship Id="rId399" Type="http://schemas.openxmlformats.org/officeDocument/2006/relationships/hyperlink" Target="https://twitter.com/vox_es/status/1064966157189435392" TargetMode="External"/><Relationship Id="rId827" Type="http://schemas.openxmlformats.org/officeDocument/2006/relationships/hyperlink" Target="https://www.instagram.com/crisnpatience/" TargetMode="External"/><Relationship Id="rId1012" Type="http://schemas.openxmlformats.org/officeDocument/2006/relationships/hyperlink" Target="https://pbs.twimg.com/media/DsLw7RMWwAAusfU.jpg" TargetMode="External"/><Relationship Id="rId1457" Type="http://schemas.openxmlformats.org/officeDocument/2006/relationships/hyperlink" Target="https://twitter.com/Santi_ABASCAL/status/1063066152648228866" TargetMode="External"/><Relationship Id="rId1664" Type="http://schemas.openxmlformats.org/officeDocument/2006/relationships/hyperlink" Target="https://youtu.be/_Frm-J9iLJQ" TargetMode="External"/><Relationship Id="rId1871" Type="http://schemas.openxmlformats.org/officeDocument/2006/relationships/hyperlink" Target="https://pbs.twimg.com/media/Dr8obvJX0AAPW-O.jpg" TargetMode="External"/><Relationship Id="rId259" Type="http://schemas.openxmlformats.org/officeDocument/2006/relationships/hyperlink" Target="https://twitter.com/jarama62/status/1065290235091783680" TargetMode="External"/><Relationship Id="rId466" Type="http://schemas.openxmlformats.org/officeDocument/2006/relationships/hyperlink" Target="https://twitter.com/pigdemont_/status/1064518555310481409" TargetMode="External"/><Relationship Id="rId673" Type="http://schemas.openxmlformats.org/officeDocument/2006/relationships/hyperlink" Target="https://www.youtube.com/c/alfilodelabrecha" TargetMode="External"/><Relationship Id="rId880" Type="http://schemas.openxmlformats.org/officeDocument/2006/relationships/hyperlink" Target="https://twitter.com/Vox_Fuengirola/status/1063802680479547394" TargetMode="External"/><Relationship Id="rId1096" Type="http://schemas.openxmlformats.org/officeDocument/2006/relationships/hyperlink" Target="https://pbs.twimg.com/media/DsI3roVWkAENC15.jpg" TargetMode="External"/><Relationship Id="rId1317" Type="http://schemas.openxmlformats.org/officeDocument/2006/relationships/hyperlink" Target="https://www.periodistadigital.com/periodismo/tv/2018/11/15/abascal-estalla-y-emite-un-demoledor-video-contra-ferreras-y-la-manipulacion-de-lasexta.shtml" TargetMode="External"/><Relationship Id="rId1524" Type="http://schemas.openxmlformats.org/officeDocument/2006/relationships/hyperlink" Target="https://www.voxespana.es/afiliarse-a-vox" TargetMode="External"/><Relationship Id="rId1731" Type="http://schemas.openxmlformats.org/officeDocument/2006/relationships/hyperlink" Target="https://www.diaribalear.es/crees-que-son-reales-los-resultados-del-cis-de-tezanos-que-siempre-dan-ganador-al-psoe/" TargetMode="External"/><Relationship Id="rId1969" Type="http://schemas.openxmlformats.org/officeDocument/2006/relationships/hyperlink" Target="http://pic.twitter.com/DHsvfha9wR" TargetMode="External"/><Relationship Id="rId23" Type="http://schemas.openxmlformats.org/officeDocument/2006/relationships/hyperlink" Target="https://twitter.com/BernalDCastillo/status/1065912984692817920" TargetMode="External"/><Relationship Id="rId119" Type="http://schemas.openxmlformats.org/officeDocument/2006/relationships/hyperlink" Target="https://www.libertaddigital.com/internacional/latinoamerica/2018-11-21/raul-castro-y-diaz-canel-seran-llevados-ante-el-tribunal-penal-internacional-por-crimenes-de-lesa-humanidad-1276628626/" TargetMode="External"/><Relationship Id="rId326" Type="http://schemas.openxmlformats.org/officeDocument/2006/relationships/hyperlink" Target="https://twitter.com/ibepacheco/status/1065087047013228544" TargetMode="External"/><Relationship Id="rId533" Type="http://schemas.openxmlformats.org/officeDocument/2006/relationships/hyperlink" Target="http://ddalmeria.info/rndc51" TargetMode="External"/><Relationship Id="rId978" Type="http://schemas.openxmlformats.org/officeDocument/2006/relationships/hyperlink" Target="https://youtu.be/RaSIX4-RPAI" TargetMode="External"/><Relationship Id="rId1163" Type="http://schemas.openxmlformats.org/officeDocument/2006/relationships/hyperlink" Target="http://www.letralibre.es/" TargetMode="External"/><Relationship Id="rId1370" Type="http://schemas.openxmlformats.org/officeDocument/2006/relationships/hyperlink" Target="https://pbs.twimg.com/media/DsCeMFqWoAAxkAU.jpg" TargetMode="External"/><Relationship Id="rId1829" Type="http://schemas.openxmlformats.org/officeDocument/2006/relationships/hyperlink" Target="http://www.bitmomentum.com/" TargetMode="External"/><Relationship Id="rId2007" Type="http://schemas.openxmlformats.org/officeDocument/2006/relationships/hyperlink" Target="https://pbs.twimg.com/media/Dr5V6ehXQAAQOSX.jpg" TargetMode="External"/><Relationship Id="rId740" Type="http://schemas.openxmlformats.org/officeDocument/2006/relationships/hyperlink" Target="https://pbs.twimg.com/media/DsTjoDnWwAkgtrx.jpg" TargetMode="External"/><Relationship Id="rId838" Type="http://schemas.openxmlformats.org/officeDocument/2006/relationships/hyperlink" Target="https://youtu.be/RaSIX4-RPAI" TargetMode="External"/><Relationship Id="rId1023" Type="http://schemas.openxmlformats.org/officeDocument/2006/relationships/hyperlink" Target="https://twitter.com/CartagoMemes/status/1063487275550613504" TargetMode="External"/><Relationship Id="rId1468" Type="http://schemas.openxmlformats.org/officeDocument/2006/relationships/hyperlink" Target="https://twitter.com/vox_es/status/1062799090260557824" TargetMode="External"/><Relationship Id="rId1675" Type="http://schemas.openxmlformats.org/officeDocument/2006/relationships/hyperlink" Target="https://youtu.be/TRbEMMMqC0g" TargetMode="External"/><Relationship Id="rId1882" Type="http://schemas.openxmlformats.org/officeDocument/2006/relationships/hyperlink" Target="https://pbs.twimg.com/media/Dr6Xo79WkAAzOv7.jpg" TargetMode="External"/><Relationship Id="rId172" Type="http://schemas.openxmlformats.org/officeDocument/2006/relationships/hyperlink" Target="http://www.bitmomentum.com/" TargetMode="External"/><Relationship Id="rId477" Type="http://schemas.openxmlformats.org/officeDocument/2006/relationships/hyperlink" Target="http://www.voxespana.es/" TargetMode="External"/><Relationship Id="rId600" Type="http://schemas.openxmlformats.org/officeDocument/2006/relationships/hyperlink" Target="https://pbs.twimg.com/media/DsX5rSSW0AI8dbd.jpg" TargetMode="External"/><Relationship Id="rId684" Type="http://schemas.openxmlformats.org/officeDocument/2006/relationships/hyperlink" Target="https://pbs.twimg.com/media/DsUW-fWWkAAJpp5.jpg" TargetMode="External"/><Relationship Id="rId1230" Type="http://schemas.openxmlformats.org/officeDocument/2006/relationships/hyperlink" Target="http://www.bitmomentum.com/" TargetMode="External"/><Relationship Id="rId1328" Type="http://schemas.openxmlformats.org/officeDocument/2006/relationships/hyperlink" Target="https://youtu.be/b9DcLpJbsjQ" TargetMode="External"/><Relationship Id="rId1535" Type="http://schemas.openxmlformats.org/officeDocument/2006/relationships/hyperlink" Target="http://www.bitmomentum.com/" TargetMode="External"/><Relationship Id="rId2060" Type="http://schemas.openxmlformats.org/officeDocument/2006/relationships/hyperlink" Target="http://opinionesextremas.blogspot.com/" TargetMode="External"/><Relationship Id="rId337" Type="http://schemas.openxmlformats.org/officeDocument/2006/relationships/hyperlink" Target="https://pbs.twimg.com/media/DsgxPDyXgAAtH_c.jpg" TargetMode="External"/><Relationship Id="rId891" Type="http://schemas.openxmlformats.org/officeDocument/2006/relationships/hyperlink" Target="http://joseplcardo.wix.com/joseplcardophoto" TargetMode="External"/><Relationship Id="rId905" Type="http://schemas.openxmlformats.org/officeDocument/2006/relationships/hyperlink" Target="http://www.voxespana.es/" TargetMode="External"/><Relationship Id="rId989" Type="http://schemas.openxmlformats.org/officeDocument/2006/relationships/hyperlink" Target="https://www.diariosur.es/" TargetMode="External"/><Relationship Id="rId1742" Type="http://schemas.openxmlformats.org/officeDocument/2006/relationships/hyperlink" Target="https://youtu.be/RaSIX4-RPAI" TargetMode="External"/><Relationship Id="rId2018" Type="http://schemas.openxmlformats.org/officeDocument/2006/relationships/hyperlink" Target="https://youtu.be/RaSIX4-RPAI" TargetMode="External"/><Relationship Id="rId34" Type="http://schemas.openxmlformats.org/officeDocument/2006/relationships/hyperlink" Target="https://twitter.com/FraJeremies/status/1065764135617667073" TargetMode="External"/><Relationship Id="rId544" Type="http://schemas.openxmlformats.org/officeDocument/2006/relationships/hyperlink" Target="http://pic.twitter.com/zLd1yf0XvN" TargetMode="External"/><Relationship Id="rId751" Type="http://schemas.openxmlformats.org/officeDocument/2006/relationships/hyperlink" Target="https://pbs.twimg.com/media/DsTQKhpWsAApsTD.jpg" TargetMode="External"/><Relationship Id="rId849" Type="http://schemas.openxmlformats.org/officeDocument/2006/relationships/hyperlink" Target="https://pbs.twimg.com/media/DsPO_sqXgAA-6BL.jpg" TargetMode="External"/><Relationship Id="rId1174" Type="http://schemas.openxmlformats.org/officeDocument/2006/relationships/hyperlink" Target="https://twitter.com/msftcitynext/status/1063152649351114752?s=21" TargetMode="External"/><Relationship Id="rId1381" Type="http://schemas.openxmlformats.org/officeDocument/2006/relationships/hyperlink" Target="http://pic.twitter.com/iSuzJneP4Y" TargetMode="External"/><Relationship Id="rId1479" Type="http://schemas.openxmlformats.org/officeDocument/2006/relationships/hyperlink" Target="https://twitter.com/el_tylerdurden" TargetMode="External"/><Relationship Id="rId1602" Type="http://schemas.openxmlformats.org/officeDocument/2006/relationships/hyperlink" Target="http://www.voxespana.es/alicante" TargetMode="External"/><Relationship Id="rId1686" Type="http://schemas.openxmlformats.org/officeDocument/2006/relationships/hyperlink" Target="http://www.cajinesyalbares.com/" TargetMode="External"/><Relationship Id="rId183" Type="http://schemas.openxmlformats.org/officeDocument/2006/relationships/hyperlink" Target="https://pbs.twimg.com/media/DskdnXDX4AYvvGk.jpg" TargetMode="External"/><Relationship Id="rId390" Type="http://schemas.openxmlformats.org/officeDocument/2006/relationships/hyperlink" Target="http://www.instagram.com/davidgosu" TargetMode="External"/><Relationship Id="rId404" Type="http://schemas.openxmlformats.org/officeDocument/2006/relationships/hyperlink" Target="https://pbs.twimg.com/media/DseZjbHWsAA2n38.jpg" TargetMode="External"/><Relationship Id="rId611" Type="http://schemas.openxmlformats.org/officeDocument/2006/relationships/hyperlink" Target="https://pbs.twimg.com/media/DsXnPQ2WwAYKQ3v.jpg" TargetMode="External"/><Relationship Id="rId1034" Type="http://schemas.openxmlformats.org/officeDocument/2006/relationships/hyperlink" Target="http://voxcartagena.es/" TargetMode="External"/><Relationship Id="rId1241" Type="http://schemas.openxmlformats.org/officeDocument/2006/relationships/hyperlink" Target="https://www.periodistadigital.com/periodismo/tv/2018/11/15/abascal-estalla-y-emite-un-demoledor-video-contra-ferreras-y-la-manipulacion-de-lasexta.shtml" TargetMode="External"/><Relationship Id="rId1339" Type="http://schemas.openxmlformats.org/officeDocument/2006/relationships/hyperlink" Target="https://pbs.twimg.com/media/DsEY69YW4AAG_mc.jpg" TargetMode="External"/><Relationship Id="rId1893" Type="http://schemas.openxmlformats.org/officeDocument/2006/relationships/hyperlink" Target="http://www.bitmomentum.com/" TargetMode="External"/><Relationship Id="rId1907" Type="http://schemas.openxmlformats.org/officeDocument/2006/relationships/hyperlink" Target="https://twitter.com/PAISESTE/status/1062457507396968449" TargetMode="External"/><Relationship Id="rId2071" Type="http://schemas.openxmlformats.org/officeDocument/2006/relationships/hyperlink" Target="https://www.elmundo.es/f5/comparte/2018/11/12/5be9beeb468aeb8e558b45b4.html" TargetMode="External"/><Relationship Id="rId250" Type="http://schemas.openxmlformats.org/officeDocument/2006/relationships/hyperlink" Target="https://pbs.twimg.com/media/DsjBq8aWsAEe-1G.jpg" TargetMode="External"/><Relationship Id="rId488" Type="http://schemas.openxmlformats.org/officeDocument/2006/relationships/hyperlink" Target="http://www.rep&#250;blicadeespa&#241;a.com/" TargetMode="External"/><Relationship Id="rId695" Type="http://schemas.openxmlformats.org/officeDocument/2006/relationships/hyperlink" Target="https://twitter.com/desamparadosb/status/1064239555627442176" TargetMode="External"/><Relationship Id="rId709" Type="http://schemas.openxmlformats.org/officeDocument/2006/relationships/hyperlink" Target="http://www.bitmomentum.com/" TargetMode="External"/><Relationship Id="rId916" Type="http://schemas.openxmlformats.org/officeDocument/2006/relationships/hyperlink" Target="http://pic.twitter.com/b3VGzjEklH" TargetMode="External"/><Relationship Id="rId1101" Type="http://schemas.openxmlformats.org/officeDocument/2006/relationships/hyperlink" Target="https://pbs.twimg.com/media/DsIxDBKW0AAXnh_.jpg" TargetMode="External"/><Relationship Id="rId1546" Type="http://schemas.openxmlformats.org/officeDocument/2006/relationships/hyperlink" Target="http://es.linkedin.com/in/rauljimenezperez/" TargetMode="External"/><Relationship Id="rId1753" Type="http://schemas.openxmlformats.org/officeDocument/2006/relationships/hyperlink" Target="http://pic.twitter.com/34Izz2F0hS" TargetMode="External"/><Relationship Id="rId1960" Type="http://schemas.openxmlformats.org/officeDocument/2006/relationships/hyperlink" Target="https://pbs.twimg.com/media/Dr6NdUUX0AAfS8F.jpg" TargetMode="External"/><Relationship Id="rId45" Type="http://schemas.openxmlformats.org/officeDocument/2006/relationships/hyperlink" Target="http://trendinalia.com/twitter-trending-topics/spain/" TargetMode="External"/><Relationship Id="rId110" Type="http://schemas.openxmlformats.org/officeDocument/2006/relationships/hyperlink" Target="https://www.elespanol.com/espana/politica/20181113/morante-puebla-hombre-detras-video-vox-caballo/352715676_0.html" TargetMode="External"/><Relationship Id="rId348" Type="http://schemas.openxmlformats.org/officeDocument/2006/relationships/hyperlink" Target="https://pbs.twimg.com/media/DsdWUdKXoAEFw9Z.jpg" TargetMode="External"/><Relationship Id="rId555" Type="http://schemas.openxmlformats.org/officeDocument/2006/relationships/hyperlink" Target="https://pbs.twimg.com/media/DsZBCh8WsAEXPb8.jpg" TargetMode="External"/><Relationship Id="rId762" Type="http://schemas.openxmlformats.org/officeDocument/2006/relationships/hyperlink" Target="http://pic.twitter.com/FEd3fDPQjm" TargetMode="External"/><Relationship Id="rId1185" Type="http://schemas.openxmlformats.org/officeDocument/2006/relationships/hyperlink" Target="https://www.astabis.com/" TargetMode="External"/><Relationship Id="rId1392" Type="http://schemas.openxmlformats.org/officeDocument/2006/relationships/hyperlink" Target="https://www.periodistadigital.com/periodismo/tv/2018/11/15/abascal-estalla-y-emite-un-demoledor-video-contra-ferreras-y-la-manipulacion-de-lasexta.shtml" TargetMode="External"/><Relationship Id="rId1406" Type="http://schemas.openxmlformats.org/officeDocument/2006/relationships/hyperlink" Target="https://twitter.com/alonso_dm/status/1063061372873908225" TargetMode="External"/><Relationship Id="rId1613" Type="http://schemas.openxmlformats.org/officeDocument/2006/relationships/hyperlink" Target="https://m.facebook.com/ebneuo" TargetMode="External"/><Relationship Id="rId1820" Type="http://schemas.openxmlformats.org/officeDocument/2006/relationships/hyperlink" Target="https://twitter.com/i/moments/911563323937820672" TargetMode="External"/><Relationship Id="rId2029" Type="http://schemas.openxmlformats.org/officeDocument/2006/relationships/hyperlink" Target="https://pbs.twimg.com/media/Dr5GTEkWwAEjRKp.jpg" TargetMode="External"/><Relationship Id="rId194" Type="http://schemas.openxmlformats.org/officeDocument/2006/relationships/hyperlink" Target="http://www.bitmomentum.com/" TargetMode="External"/><Relationship Id="rId208" Type="http://schemas.openxmlformats.org/officeDocument/2006/relationships/hyperlink" Target="http://kallixti.blogspot.com.es/" TargetMode="External"/><Relationship Id="rId415" Type="http://schemas.openxmlformats.org/officeDocument/2006/relationships/hyperlink" Target="https://www.voxespana.es/afiliarse-a-vox" TargetMode="External"/><Relationship Id="rId622" Type="http://schemas.openxmlformats.org/officeDocument/2006/relationships/hyperlink" Target="https://pbs.twimg.com/media/DsWojmoWkAEgo9I.jpg" TargetMode="External"/><Relationship Id="rId1045" Type="http://schemas.openxmlformats.org/officeDocument/2006/relationships/hyperlink" Target="https://pbs.twimg.com/media/DsH4ZUrX4AIwovk.jpg" TargetMode="External"/><Relationship Id="rId1252" Type="http://schemas.openxmlformats.org/officeDocument/2006/relationships/hyperlink" Target="http://pic.twitter.com/FYT4WXgYsR" TargetMode="External"/><Relationship Id="rId1697" Type="http://schemas.openxmlformats.org/officeDocument/2006/relationships/hyperlink" Target="http://pic.twitter.com/EMFnhnMtZ3" TargetMode="External"/><Relationship Id="rId1918" Type="http://schemas.openxmlformats.org/officeDocument/2006/relationships/hyperlink" Target="https://pbs.twimg.com/media/Dr6qQTuW4AAqaB5.jpg" TargetMode="External"/><Relationship Id="rId261" Type="http://schemas.openxmlformats.org/officeDocument/2006/relationships/hyperlink" Target="https://pbs.twimg.com/media/Dsi22SwWoAEGzuj.jpg" TargetMode="External"/><Relationship Id="rId499" Type="http://schemas.openxmlformats.org/officeDocument/2006/relationships/hyperlink" Target="https://twitter.com/Santi_ABASCAL/status/1064231017656066049" TargetMode="External"/><Relationship Id="rId927" Type="http://schemas.openxmlformats.org/officeDocument/2006/relationships/hyperlink" Target="https://twitter.com/vox_es/status/1063765506287681536" TargetMode="External"/><Relationship Id="rId1112" Type="http://schemas.openxmlformats.org/officeDocument/2006/relationships/hyperlink" Target="http://youtu.be/WVk6--jHJ70?a" TargetMode="External"/><Relationship Id="rId1557" Type="http://schemas.openxmlformats.org/officeDocument/2006/relationships/hyperlink" Target="https://www.facebook.com/nicolasmarquezoficial" TargetMode="External"/><Relationship Id="rId1764" Type="http://schemas.openxmlformats.org/officeDocument/2006/relationships/hyperlink" Target="http://pic.twitter.com/0iJg217RYX" TargetMode="External"/><Relationship Id="rId1971" Type="http://schemas.openxmlformats.org/officeDocument/2006/relationships/hyperlink" Target="http://ninguno.com/" TargetMode="External"/><Relationship Id="rId56" Type="http://schemas.openxmlformats.org/officeDocument/2006/relationships/hyperlink" Target="https://spanishpolice.github.io/" TargetMode="External"/><Relationship Id="rId359" Type="http://schemas.openxmlformats.org/officeDocument/2006/relationships/hyperlink" Target="http://pic.twitter.com/PRw1rfwkdC" TargetMode="External"/><Relationship Id="rId566" Type="http://schemas.openxmlformats.org/officeDocument/2006/relationships/hyperlink" Target="https://radiosick.com/" TargetMode="External"/><Relationship Id="rId773" Type="http://schemas.openxmlformats.org/officeDocument/2006/relationships/hyperlink" Target="http://pic.twitter.com/zRgmG2Jw3l" TargetMode="External"/><Relationship Id="rId1196" Type="http://schemas.openxmlformats.org/officeDocument/2006/relationships/hyperlink" Target="http://www.aizcorbe.com/" TargetMode="External"/><Relationship Id="rId1417" Type="http://schemas.openxmlformats.org/officeDocument/2006/relationships/hyperlink" Target="https://www.elmundo.es/espana/2018/11/15/5bed7091468aebf31f8b4587.html" TargetMode="External"/><Relationship Id="rId1624" Type="http://schemas.openxmlformats.org/officeDocument/2006/relationships/hyperlink" Target="http://www.bitmomentum.com/" TargetMode="External"/><Relationship Id="rId1831" Type="http://schemas.openxmlformats.org/officeDocument/2006/relationships/hyperlink" Target="https://r4gregiondemurcia.blogspot.com/" TargetMode="External"/><Relationship Id="rId121" Type="http://schemas.openxmlformats.org/officeDocument/2006/relationships/hyperlink" Target="http://www.bitmomentum.com/" TargetMode="External"/><Relationship Id="rId219" Type="http://schemas.openxmlformats.org/officeDocument/2006/relationships/hyperlink" Target="https://pbs.twimg.com/media/Dsjo13BWsAAzDe2.jpg" TargetMode="External"/><Relationship Id="rId426" Type="http://schemas.openxmlformats.org/officeDocument/2006/relationships/hyperlink" Target="http://www.fac.es/" TargetMode="External"/><Relationship Id="rId633" Type="http://schemas.openxmlformats.org/officeDocument/2006/relationships/hyperlink" Target="https://pbs.twimg.com/media/DsXOjbqXQAImZgv.jpg" TargetMode="External"/><Relationship Id="rId980" Type="http://schemas.openxmlformats.org/officeDocument/2006/relationships/hyperlink" Target="https://pbs.twimg.com/media/DsMxGkmWkAAFwbh.jpg" TargetMode="External"/><Relationship Id="rId1056" Type="http://schemas.openxmlformats.org/officeDocument/2006/relationships/hyperlink" Target="https://pbs.twimg.com/media/DsJiZunXQAEIMPf.jpg" TargetMode="External"/><Relationship Id="rId1263" Type="http://schemas.openxmlformats.org/officeDocument/2006/relationships/hyperlink" Target="http://www.guardiacivil.es/" TargetMode="External"/><Relationship Id="rId1929" Type="http://schemas.openxmlformats.org/officeDocument/2006/relationships/hyperlink" Target="http://www.bitmomentum.com/" TargetMode="External"/><Relationship Id="rId840" Type="http://schemas.openxmlformats.org/officeDocument/2006/relationships/hyperlink" Target="https://pbs.twimg.com/media/DsNSkakW0AA2D4-.jpg" TargetMode="External"/><Relationship Id="rId938" Type="http://schemas.openxmlformats.org/officeDocument/2006/relationships/hyperlink" Target="http://pic.twitter.com/BjFTk3Yt90" TargetMode="External"/><Relationship Id="rId1470" Type="http://schemas.openxmlformats.org/officeDocument/2006/relationships/hyperlink" Target="http://instagram.com/fco_cp/" TargetMode="External"/><Relationship Id="rId1568" Type="http://schemas.openxmlformats.org/officeDocument/2006/relationships/hyperlink" Target="http://www.bitmomentum.com/" TargetMode="External"/><Relationship Id="rId1775" Type="http://schemas.openxmlformats.org/officeDocument/2006/relationships/hyperlink" Target="https://pbs.twimg.com/media/Dr9LwVKWoAA6rH3.jpg" TargetMode="External"/><Relationship Id="rId67" Type="http://schemas.openxmlformats.org/officeDocument/2006/relationships/hyperlink" Target="https://pbs.twimg.com/media/Dsou8kQVYAAy7zu.jpg" TargetMode="External"/><Relationship Id="rId272" Type="http://schemas.openxmlformats.org/officeDocument/2006/relationships/hyperlink" Target="https://twitter.com/ZacEfron/status/1064991224044707841" TargetMode="External"/><Relationship Id="rId577" Type="http://schemas.openxmlformats.org/officeDocument/2006/relationships/hyperlink" Target="https://twitter.com/ComptadorRep/status/1042026374683418625?s=19" TargetMode="External"/><Relationship Id="rId700" Type="http://schemas.openxmlformats.org/officeDocument/2006/relationships/hyperlink" Target="https://twitter.com/Juanerpf/status/1064272535452352513" TargetMode="External"/><Relationship Id="rId1123" Type="http://schemas.openxmlformats.org/officeDocument/2006/relationships/hyperlink" Target="http://pic.twitter.com/u2Zy7xI8hN" TargetMode="External"/><Relationship Id="rId1330" Type="http://schemas.openxmlformats.org/officeDocument/2006/relationships/hyperlink" Target="http://pic.twitter.com/63KN1egB4c" TargetMode="External"/><Relationship Id="rId1428" Type="http://schemas.openxmlformats.org/officeDocument/2006/relationships/hyperlink" Target="http://canasporespana.es/" TargetMode="External"/><Relationship Id="rId1635" Type="http://schemas.openxmlformats.org/officeDocument/2006/relationships/hyperlink" Target="https://twitter.com/vox_es/status/1062799090260557824?s=21" TargetMode="External"/><Relationship Id="rId1982" Type="http://schemas.openxmlformats.org/officeDocument/2006/relationships/hyperlink" Target="https://pbs.twimg.com/media/Dr53Fn0XQAApQWF.jpg" TargetMode="External"/><Relationship Id="rId132" Type="http://schemas.openxmlformats.org/officeDocument/2006/relationships/hyperlink" Target="https://www.europapress.es/galicia/noticia-ppdeg-defiende-criticas-vox-twitter-iniciativa-uniforme-alumnas-tendran-libertad-20181122123740.html" TargetMode="External"/><Relationship Id="rId784" Type="http://schemas.openxmlformats.org/officeDocument/2006/relationships/hyperlink" Target="http://pic.twitter.com/1hKMHlGbpI" TargetMode="External"/><Relationship Id="rId991" Type="http://schemas.openxmlformats.org/officeDocument/2006/relationships/hyperlink" Target="https://elmetropolitanodemadrid.blogspot.com/2018/11/la-izquierda-quiere-repetir-lo-de.html?m=1" TargetMode="External"/><Relationship Id="rId1067" Type="http://schemas.openxmlformats.org/officeDocument/2006/relationships/hyperlink" Target="http://www.bitmomentum.com/" TargetMode="External"/><Relationship Id="rId1842" Type="http://schemas.openxmlformats.org/officeDocument/2006/relationships/hyperlink" Target="http://www.telemadrid.es/programas/buenos-dias-madrid/brutal-violencia-latinas-vigilantes-Metro-2-2067413241--20181114091515.html" TargetMode="External"/><Relationship Id="rId2020" Type="http://schemas.openxmlformats.org/officeDocument/2006/relationships/hyperlink" Target="https://pbs.twimg.com/media/Dr5KJOvWoAArwFz.jpg" TargetMode="External"/><Relationship Id="rId437" Type="http://schemas.openxmlformats.org/officeDocument/2006/relationships/hyperlink" Target="http://www.bitmomentum.com/" TargetMode="External"/><Relationship Id="rId644" Type="http://schemas.openxmlformats.org/officeDocument/2006/relationships/hyperlink" Target="http://www.voxespana.es/" TargetMode="External"/><Relationship Id="rId851" Type="http://schemas.openxmlformats.org/officeDocument/2006/relationships/hyperlink" Target="http://pic.twitter.com/BjFTk3Yt90" TargetMode="External"/><Relationship Id="rId1274" Type="http://schemas.openxmlformats.org/officeDocument/2006/relationships/hyperlink" Target="http://pic.twitter.com/6O1vlaVhpd" TargetMode="External"/><Relationship Id="rId1481" Type="http://schemas.openxmlformats.org/officeDocument/2006/relationships/hyperlink" Target="https://goo.gl/VnG2rq" TargetMode="External"/><Relationship Id="rId1579" Type="http://schemas.openxmlformats.org/officeDocument/2006/relationships/hyperlink" Target="http://pic.twitter.com/WUV7f4vRJo" TargetMode="External"/><Relationship Id="rId1702" Type="http://schemas.openxmlformats.org/officeDocument/2006/relationships/hyperlink" Target="http://pic.twitter.com/LFtbQf0446" TargetMode="External"/><Relationship Id="rId283" Type="http://schemas.openxmlformats.org/officeDocument/2006/relationships/hyperlink" Target="https://twitter.com/ZacEfron/status/1064991224044707841" TargetMode="External"/><Relationship Id="rId490" Type="http://schemas.openxmlformats.org/officeDocument/2006/relationships/hyperlink" Target="https://www.facebook.com/enrique.seoane.71" TargetMode="External"/><Relationship Id="rId504" Type="http://schemas.openxmlformats.org/officeDocument/2006/relationships/hyperlink" Target="https://twitter.com/inma_ben/status/1064273084193038336" TargetMode="External"/><Relationship Id="rId711" Type="http://schemas.openxmlformats.org/officeDocument/2006/relationships/hyperlink" Target="http://www.bitmomentum.com/" TargetMode="External"/><Relationship Id="rId949" Type="http://schemas.openxmlformats.org/officeDocument/2006/relationships/hyperlink" Target="https://pbs.twimg.com/media/DsNOtdBXcAEeXRn.jpg" TargetMode="External"/><Relationship Id="rId1134" Type="http://schemas.openxmlformats.org/officeDocument/2006/relationships/hyperlink" Target="http://www.periodistadigital.com/periodismo/tv/2018/11/15/abascal-estalla-y-emite-un-demoledor-video-contra-ferreras-y-la-manipulacion-de-lasexta.shtml" TargetMode="External"/><Relationship Id="rId1341" Type="http://schemas.openxmlformats.org/officeDocument/2006/relationships/hyperlink" Target="https://pbs.twimg.com/media/DsEYa7cX4AIKPUe.jpg" TargetMode="External"/><Relationship Id="rId1786" Type="http://schemas.openxmlformats.org/officeDocument/2006/relationships/hyperlink" Target="https://pbs.twimg.com/media/Dr-IsDYUwAAB0xM.jpg" TargetMode="External"/><Relationship Id="rId1993" Type="http://schemas.openxmlformats.org/officeDocument/2006/relationships/hyperlink" Target="http://voxespana.es/madrid" TargetMode="External"/><Relationship Id="rId78" Type="http://schemas.openxmlformats.org/officeDocument/2006/relationships/hyperlink" Target="https://pbs.twimg.com/media/DsoTCXyW0AAoQz5.jpg" TargetMode="External"/><Relationship Id="rId143" Type="http://schemas.openxmlformats.org/officeDocument/2006/relationships/hyperlink" Target="http://www.bitmomentum.com/" TargetMode="External"/><Relationship Id="rId350" Type="http://schemas.openxmlformats.org/officeDocument/2006/relationships/hyperlink" Target="https://m.eldiario.es/politica/Santiago-Abascal-Andalucia-Infante-Andalus_0_837817468.html" TargetMode="External"/><Relationship Id="rId588" Type="http://schemas.openxmlformats.org/officeDocument/2006/relationships/hyperlink" Target="https://pbs.twimg.com/media/DsTjoDnWwAkgtrx.jpg" TargetMode="External"/><Relationship Id="rId795" Type="http://schemas.openxmlformats.org/officeDocument/2006/relationships/hyperlink" Target="http://www.aloeforever.info/" TargetMode="External"/><Relationship Id="rId809" Type="http://schemas.openxmlformats.org/officeDocument/2006/relationships/hyperlink" Target="http://pic.twitter.com/Czjr5xdh0D" TargetMode="External"/><Relationship Id="rId1201" Type="http://schemas.openxmlformats.org/officeDocument/2006/relationships/hyperlink" Target="https://www.periodistadigital.com/periodismo/tv/2018/11/15/abascal-estalla-y-emite-un-demoledor-video-contra-ferreras-y-la-manipulacion-de-lasexta.shtml" TargetMode="External"/><Relationship Id="rId1439" Type="http://schemas.openxmlformats.org/officeDocument/2006/relationships/hyperlink" Target="https://www.youtube.com/watch?v=xJ6HxMtQ-Ww" TargetMode="External"/><Relationship Id="rId1646" Type="http://schemas.openxmlformats.org/officeDocument/2006/relationships/hyperlink" Target="https://pbs.twimg.com/media/Dr_nJU1XcAA3M81.jpg" TargetMode="External"/><Relationship Id="rId1853" Type="http://schemas.openxmlformats.org/officeDocument/2006/relationships/hyperlink" Target="https://youtu.be/CzPw1AMoHaM" TargetMode="External"/><Relationship Id="rId2031" Type="http://schemas.openxmlformats.org/officeDocument/2006/relationships/hyperlink" Target="https://pbs.twimg.com/media/Dr5CwRoX0AAqSet.jpg" TargetMode="External"/><Relationship Id="rId9" Type="http://schemas.openxmlformats.org/officeDocument/2006/relationships/hyperlink" Target="https://gaceta.es/opinion/vox-voto-util-espana-javier-tejedor-20181122-0937/" TargetMode="External"/><Relationship Id="rId210" Type="http://schemas.openxmlformats.org/officeDocument/2006/relationships/hyperlink" Target="https://twitter.com/santi_abascal/status/1065361528751353857" TargetMode="External"/><Relationship Id="rId448" Type="http://schemas.openxmlformats.org/officeDocument/2006/relationships/hyperlink" Target="https://m.facebook.com/ivan.fernandezolivares.3?slog=82716&amp;seq=206906285&amp;rk=0&amp;st=user&amp;fbtype=2048&amp;re" TargetMode="External"/><Relationship Id="rId655" Type="http://schemas.openxmlformats.org/officeDocument/2006/relationships/hyperlink" Target="https://pbs.twimg.com/media/DsWlkXUXQAAJlyx.jpg" TargetMode="External"/><Relationship Id="rId862" Type="http://schemas.openxmlformats.org/officeDocument/2006/relationships/hyperlink" Target="http://www.voxespana.es/" TargetMode="External"/><Relationship Id="rId1078" Type="http://schemas.openxmlformats.org/officeDocument/2006/relationships/hyperlink" Target="http://pic.twitter.com/PC3NarOAAY" TargetMode="External"/><Relationship Id="rId1285" Type="http://schemas.openxmlformats.org/officeDocument/2006/relationships/hyperlink" Target="http://vuelveconpapahugo.blogspot.com.es/" TargetMode="External"/><Relationship Id="rId1492" Type="http://schemas.openxmlformats.org/officeDocument/2006/relationships/hyperlink" Target="http://www.voxespana.es/" TargetMode="External"/><Relationship Id="rId1506" Type="http://schemas.openxmlformats.org/officeDocument/2006/relationships/hyperlink" Target="https://okdiario.com/espana/2018/11/15/sanchez-renuncia-cosoberania-gibraltar-acuerdo-del-brexit-3351904?utm_campaign=inda&amp;utm_medium=Social&amp;utm_source=Twitter" TargetMode="External"/><Relationship Id="rId1713" Type="http://schemas.openxmlformats.org/officeDocument/2006/relationships/hyperlink" Target="https://twitter.com/ldpsincomplejos/status/1033757362019033089" TargetMode="External"/><Relationship Id="rId1920" Type="http://schemas.openxmlformats.org/officeDocument/2006/relationships/hyperlink" Target="https://youtu.be/E1LvoYx_q7Y" TargetMode="External"/><Relationship Id="rId294" Type="http://schemas.openxmlformats.org/officeDocument/2006/relationships/hyperlink" Target="http://www.elclubdelosviernes.org/" TargetMode="External"/><Relationship Id="rId308" Type="http://schemas.openxmlformats.org/officeDocument/2006/relationships/hyperlink" Target="http://www.youtube.com/user/25Pipe69/videos" TargetMode="External"/><Relationship Id="rId515" Type="http://schemas.openxmlformats.org/officeDocument/2006/relationships/hyperlink" Target="https://youtu.be/RaSIX4-RPAI" TargetMode="External"/><Relationship Id="rId722" Type="http://schemas.openxmlformats.org/officeDocument/2006/relationships/hyperlink" Target="http://www.elindependiente.com/" TargetMode="External"/><Relationship Id="rId1145" Type="http://schemas.openxmlformats.org/officeDocument/2006/relationships/hyperlink" Target="https://www.periodistadigital.com/periodismo/tv/2018/11/15/abascal-estalla-y-emite-un-demoledor-video-contra-ferreras-y-la-manipulacion-de-lasexta.shtml" TargetMode="External"/><Relationship Id="rId1352" Type="http://schemas.openxmlformats.org/officeDocument/2006/relationships/hyperlink" Target="http://www.masportal.net/" TargetMode="External"/><Relationship Id="rId1797" Type="http://schemas.openxmlformats.org/officeDocument/2006/relationships/hyperlink" Target="https://pbs.twimg.com/media/Dr9y1KBXcAAExQc.jpg" TargetMode="External"/><Relationship Id="rId89" Type="http://schemas.openxmlformats.org/officeDocument/2006/relationships/hyperlink" Target="http://www.ccma.cat/324/brexit-may-avisa-espanya-que-protegira-la-sobirania-britanica-de-gibraltar/noticia/2888546/" TargetMode="External"/><Relationship Id="rId154" Type="http://schemas.openxmlformats.org/officeDocument/2006/relationships/hyperlink" Target="https://casoaislado.com/santiago-abascal-los-primates-erc-no-deberian-estar-congreso-ilegalizar-las-organizaciones-golpistas/" TargetMode="External"/><Relationship Id="rId361" Type="http://schemas.openxmlformats.org/officeDocument/2006/relationships/hyperlink" Target="https://twitter.com/ZacEfron/status/1064991224044707841" TargetMode="External"/><Relationship Id="rId599" Type="http://schemas.openxmlformats.org/officeDocument/2006/relationships/hyperlink" Target="http://pic.twitter.com/nJImpRBR7C" TargetMode="External"/><Relationship Id="rId1005" Type="http://schemas.openxmlformats.org/officeDocument/2006/relationships/hyperlink" Target="https://pbs.twimg.com/media/DsMSLiMWsAITPt6.jpg" TargetMode="External"/><Relationship Id="rId1212" Type="http://schemas.openxmlformats.org/officeDocument/2006/relationships/hyperlink" Target="https://twitter.com/gallifantes/status/1063021210299174912" TargetMode="External"/><Relationship Id="rId1657" Type="http://schemas.openxmlformats.org/officeDocument/2006/relationships/hyperlink" Target="http://dnj.democracianacional.org/" TargetMode="External"/><Relationship Id="rId1864" Type="http://schemas.openxmlformats.org/officeDocument/2006/relationships/hyperlink" Target="http://pic.twitter.com/zt6WrgoVih" TargetMode="External"/><Relationship Id="rId2042" Type="http://schemas.openxmlformats.org/officeDocument/2006/relationships/hyperlink" Target="http://pic.twitter.com/uOpCLK0N47" TargetMode="External"/><Relationship Id="rId459" Type="http://schemas.openxmlformats.org/officeDocument/2006/relationships/hyperlink" Target="https://youtu.be/RaSIX4-RPAI" TargetMode="External"/><Relationship Id="rId666" Type="http://schemas.openxmlformats.org/officeDocument/2006/relationships/hyperlink" Target="http://trendinalia.com/twitter-trending-topics/spain/" TargetMode="External"/><Relationship Id="rId873" Type="http://schemas.openxmlformats.org/officeDocument/2006/relationships/hyperlink" Target="https://www.facebook.com/ZassCometro/" TargetMode="External"/><Relationship Id="rId1089" Type="http://schemas.openxmlformats.org/officeDocument/2006/relationships/hyperlink" Target="https://www.europapress.es/internacional/noticia-onu-acuerda-pacto-gestionar-migracion-global-masiva-20180714074249.html" TargetMode="External"/><Relationship Id="rId1296" Type="http://schemas.openxmlformats.org/officeDocument/2006/relationships/hyperlink" Target="http://paseanteupd.blogspot.com/" TargetMode="External"/><Relationship Id="rId1517" Type="http://schemas.openxmlformats.org/officeDocument/2006/relationships/hyperlink" Target="https://pbs.twimg.com/media/DsCWAjaW4AEVSHF.jpg" TargetMode="External"/><Relationship Id="rId1724" Type="http://schemas.openxmlformats.org/officeDocument/2006/relationships/hyperlink" Target="http://www.bitmomentum.com/" TargetMode="External"/><Relationship Id="rId16" Type="http://schemas.openxmlformats.org/officeDocument/2006/relationships/hyperlink" Target="http://pic.twitter.com/MPvTPmQVOf" TargetMode="External"/><Relationship Id="rId221" Type="http://schemas.openxmlformats.org/officeDocument/2006/relationships/hyperlink" Target="https://twitter.com/javierj67840778/status/1065314733237198848" TargetMode="External"/><Relationship Id="rId319" Type="http://schemas.openxmlformats.org/officeDocument/2006/relationships/hyperlink" Target="https://pbs.twimg.com/media/DshClLWX4AE-7VD.jpg" TargetMode="External"/><Relationship Id="rId526" Type="http://schemas.openxmlformats.org/officeDocument/2006/relationships/hyperlink" Target="http://www.malagahoy.es/" TargetMode="External"/><Relationship Id="rId1156" Type="http://schemas.openxmlformats.org/officeDocument/2006/relationships/hyperlink" Target="http://copsapm.es/" TargetMode="External"/><Relationship Id="rId1363" Type="http://schemas.openxmlformats.org/officeDocument/2006/relationships/hyperlink" Target="http://www.bimetallic-coins.com/" TargetMode="External"/><Relationship Id="rId1931" Type="http://schemas.openxmlformats.org/officeDocument/2006/relationships/hyperlink" Target="https://cronicaglobal.elespanol.com/politica/manuel-valls-mossos-escrache-barcelona_199225_102_amp.html?__twitter_impression=true" TargetMode="External"/><Relationship Id="rId733" Type="http://schemas.openxmlformats.org/officeDocument/2006/relationships/hyperlink" Target="https://twitter.com/julaydeandorra/status/1063875716792676352" TargetMode="External"/><Relationship Id="rId940" Type="http://schemas.openxmlformats.org/officeDocument/2006/relationships/hyperlink" Target="https://www.youtube.com/watch?v=t_CIfZ5amIE" TargetMode="External"/><Relationship Id="rId1016" Type="http://schemas.openxmlformats.org/officeDocument/2006/relationships/hyperlink" Target="https://twitter.com/vox_es/status/1063582217945972738" TargetMode="External"/><Relationship Id="rId1570" Type="http://schemas.openxmlformats.org/officeDocument/2006/relationships/hyperlink" Target="http://www.bitmomentum.com/" TargetMode="External"/><Relationship Id="rId1668" Type="http://schemas.openxmlformats.org/officeDocument/2006/relationships/hyperlink" Target="https://twitter.com/PoliciasSpain/status/1062780887023128576" TargetMode="External"/><Relationship Id="rId1875" Type="http://schemas.openxmlformats.org/officeDocument/2006/relationships/hyperlink" Target="https://twitter.com/Rafa_Hernando/status/1062006470898786304" TargetMode="External"/><Relationship Id="rId165" Type="http://schemas.openxmlformats.org/officeDocument/2006/relationships/hyperlink" Target="http://www.bitmomentum.com/" TargetMode="External"/><Relationship Id="rId372" Type="http://schemas.openxmlformats.org/officeDocument/2006/relationships/hyperlink" Target="http://www.aloeforever.info/" TargetMode="External"/><Relationship Id="rId677" Type="http://schemas.openxmlformats.org/officeDocument/2006/relationships/hyperlink" Target="https://twitter.com/vox_es/status/1064278775511347200" TargetMode="External"/><Relationship Id="rId800" Type="http://schemas.openxmlformats.org/officeDocument/2006/relationships/hyperlink" Target="https://twitter.com/ppmadrid/status/1064123397104386048" TargetMode="External"/><Relationship Id="rId1223" Type="http://schemas.openxmlformats.org/officeDocument/2006/relationships/hyperlink" Target="http://pic.twitter.com/1hKMHlGbpI" TargetMode="External"/><Relationship Id="rId1430" Type="http://schemas.openxmlformats.org/officeDocument/2006/relationships/hyperlink" Target="https://twitter.com/alonso_dm/status/1063077473959714816" TargetMode="External"/><Relationship Id="rId1528" Type="http://schemas.openxmlformats.org/officeDocument/2006/relationships/hyperlink" Target="http://www.bitmomentum.com/" TargetMode="External"/><Relationship Id="rId2053" Type="http://schemas.openxmlformats.org/officeDocument/2006/relationships/hyperlink" Target="https://pbs.twimg.com/media/Dr4ysqsX0AA4L38.jpg" TargetMode="External"/><Relationship Id="rId232" Type="http://schemas.openxmlformats.org/officeDocument/2006/relationships/hyperlink" Target="https://youtu.be/RaSIX4-RPAI" TargetMode="External"/><Relationship Id="rId884" Type="http://schemas.openxmlformats.org/officeDocument/2006/relationships/hyperlink" Target="http://www.bitmomentum.com/" TargetMode="External"/><Relationship Id="rId1735" Type="http://schemas.openxmlformats.org/officeDocument/2006/relationships/hyperlink" Target="http://www.voxespana.es/" TargetMode="External"/><Relationship Id="rId1942" Type="http://schemas.openxmlformats.org/officeDocument/2006/relationships/hyperlink" Target="https://pbs.twimg.com/media/Dr6YopcX4AE2u6J.jpg" TargetMode="External"/><Relationship Id="rId27" Type="http://schemas.openxmlformats.org/officeDocument/2006/relationships/hyperlink" Target="https://pbs.twimg.com/media/DsotOXiUcAAtWEf.jpg" TargetMode="External"/><Relationship Id="rId537" Type="http://schemas.openxmlformats.org/officeDocument/2006/relationships/hyperlink" Target="http://eusur.info/hekfc1" TargetMode="External"/><Relationship Id="rId744" Type="http://schemas.openxmlformats.org/officeDocument/2006/relationships/hyperlink" Target="http://tomandoimpulso.blogspot.com/" TargetMode="External"/><Relationship Id="rId951" Type="http://schemas.openxmlformats.org/officeDocument/2006/relationships/hyperlink" Target="https://pbs.twimg.com/media/DsNMvhgWsAAa-lo.jpg" TargetMode="External"/><Relationship Id="rId1167" Type="http://schemas.openxmlformats.org/officeDocument/2006/relationships/hyperlink" Target="http://jsmadrid.com/afiliate" TargetMode="External"/><Relationship Id="rId1374" Type="http://schemas.openxmlformats.org/officeDocument/2006/relationships/hyperlink" Target="https://www.periodistadigital.com/periodismo/tv/2018/11/15/abascal-estalla-y-emite-un-demoledor-video-contra-ferreras-y-la-manipulacion-de-lasexta.shtml" TargetMode="External"/><Relationship Id="rId1581" Type="http://schemas.openxmlformats.org/officeDocument/2006/relationships/hyperlink" Target="http://www.bitmomentum.com/" TargetMode="External"/><Relationship Id="rId1679" Type="http://schemas.openxmlformats.org/officeDocument/2006/relationships/hyperlink" Target="http://pic.twitter.com/4yytrnb5Dw" TargetMode="External"/><Relationship Id="rId1802" Type="http://schemas.openxmlformats.org/officeDocument/2006/relationships/hyperlink" Target="http://www.rivasactual.com/archives/35461" TargetMode="External"/><Relationship Id="rId80" Type="http://schemas.openxmlformats.org/officeDocument/2006/relationships/hyperlink" Target="https://pbs.twimg.com/media/DsnkJusWwAANW9F.jpg" TargetMode="External"/><Relationship Id="rId176" Type="http://schemas.openxmlformats.org/officeDocument/2006/relationships/hyperlink" Target="https://twitter.com/ZacEfron/status/1064991224044707841" TargetMode="External"/><Relationship Id="rId383" Type="http://schemas.openxmlformats.org/officeDocument/2006/relationships/hyperlink" Target="http://pic.twitter.com/timCgsnVdS" TargetMode="External"/><Relationship Id="rId590" Type="http://schemas.openxmlformats.org/officeDocument/2006/relationships/hyperlink" Target="https://elpais.com/ccaa/2013/11/05/madrid/1383681128_991964.html?id_externo_rsoc=FB_CC" TargetMode="External"/><Relationship Id="rId604" Type="http://schemas.openxmlformats.org/officeDocument/2006/relationships/hyperlink" Target="http://www.elindependiente.com/" TargetMode="External"/><Relationship Id="rId811" Type="http://schemas.openxmlformats.org/officeDocument/2006/relationships/hyperlink" Target="http://pic.twitter.com/IvDv1lycfH" TargetMode="External"/><Relationship Id="rId1027" Type="http://schemas.openxmlformats.org/officeDocument/2006/relationships/hyperlink" Target="https://www.instagram.com/p/BqQqAGfgyxH/?utm_source=ig_share_sheet&amp;igshid=1gl9j571alj5a" TargetMode="External"/><Relationship Id="rId1234" Type="http://schemas.openxmlformats.org/officeDocument/2006/relationships/hyperlink" Target="http://www.sevillainfo.es/" TargetMode="External"/><Relationship Id="rId1441" Type="http://schemas.openxmlformats.org/officeDocument/2006/relationships/hyperlink" Target="http://youtu.be/5LeDQjo7Cww?a" TargetMode="External"/><Relationship Id="rId1886" Type="http://schemas.openxmlformats.org/officeDocument/2006/relationships/hyperlink" Target="http://article19.ma/" TargetMode="External"/><Relationship Id="rId2064" Type="http://schemas.openxmlformats.org/officeDocument/2006/relationships/hyperlink" Target="https://youtu.be/uc7nbZ5FRso" TargetMode="External"/><Relationship Id="rId243" Type="http://schemas.openxmlformats.org/officeDocument/2006/relationships/hyperlink" Target="https://mobile.twitter.com/andaluciacaza/status/1065310307244023809" TargetMode="External"/><Relationship Id="rId450" Type="http://schemas.openxmlformats.org/officeDocument/2006/relationships/hyperlink" Target="https://goo.gl/p9XVc1" TargetMode="External"/><Relationship Id="rId688" Type="http://schemas.openxmlformats.org/officeDocument/2006/relationships/hyperlink" Target="https://www.elcorreodemadrid.com/nacional/376078027/VOX-obtendra-tres-diputados-en-Andalucia.html" TargetMode="External"/><Relationship Id="rId895" Type="http://schemas.openxmlformats.org/officeDocument/2006/relationships/hyperlink" Target="https://pbs.twimg.com/media/DsOHf1GWwAA7ZMU.jpg" TargetMode="External"/><Relationship Id="rId909" Type="http://schemas.openxmlformats.org/officeDocument/2006/relationships/hyperlink" Target="http://pic.twitter.com/wgQUm80iiV" TargetMode="External"/><Relationship Id="rId1080" Type="http://schemas.openxmlformats.org/officeDocument/2006/relationships/hyperlink" Target="https://pbs.twimg.com/media/DsJarmZXQAYKIgm.jpg" TargetMode="External"/><Relationship Id="rId1301" Type="http://schemas.openxmlformats.org/officeDocument/2006/relationships/hyperlink" Target="http://pic.twitter.com/ZarYgeTgHL" TargetMode="External"/><Relationship Id="rId1539" Type="http://schemas.openxmlformats.org/officeDocument/2006/relationships/hyperlink" Target="https://www.laopiniondemurcia.es/" TargetMode="External"/><Relationship Id="rId1746" Type="http://schemas.openxmlformats.org/officeDocument/2006/relationships/hyperlink" Target="http://www.bitmomentum.com/" TargetMode="External"/><Relationship Id="rId1953" Type="http://schemas.openxmlformats.org/officeDocument/2006/relationships/hyperlink" Target="http://pic.twitter.com/hxWhihkfiq" TargetMode="External"/><Relationship Id="rId38" Type="http://schemas.openxmlformats.org/officeDocument/2006/relationships/hyperlink" Target="https://www.voxespana.es/afiliarse-a-vox" TargetMode="External"/><Relationship Id="rId103" Type="http://schemas.openxmlformats.org/officeDocument/2006/relationships/hyperlink" Target="http://mercadosostenible.com/" TargetMode="External"/><Relationship Id="rId310" Type="http://schemas.openxmlformats.org/officeDocument/2006/relationships/hyperlink" Target="https://twitter.com/vox_es/status/1064882724274618368" TargetMode="External"/><Relationship Id="rId548" Type="http://schemas.openxmlformats.org/officeDocument/2006/relationships/hyperlink" Target="https://pbs.twimg.com/media/DsZMw-ZWwAEh3Yh.jpg" TargetMode="External"/><Relationship Id="rId755" Type="http://schemas.openxmlformats.org/officeDocument/2006/relationships/hyperlink" Target="https://pbs.twimg.com/media/DsTLP9HWkAA7ccn.jpg" TargetMode="External"/><Relationship Id="rId962" Type="http://schemas.openxmlformats.org/officeDocument/2006/relationships/hyperlink" Target="http://www.casoaislado.com/" TargetMode="External"/><Relationship Id="rId1178" Type="http://schemas.openxmlformats.org/officeDocument/2006/relationships/hyperlink" Target="https://pbs.twimg.com/media/DsHf7_HW0AEV2nb.jpg" TargetMode="External"/><Relationship Id="rId1385" Type="http://schemas.openxmlformats.org/officeDocument/2006/relationships/hyperlink" Target="http://www.bitmomentum.com/" TargetMode="External"/><Relationship Id="rId1592" Type="http://schemas.openxmlformats.org/officeDocument/2006/relationships/hyperlink" Target="https://twitter.com/vox_es/status/1062799090260557824" TargetMode="External"/><Relationship Id="rId1606" Type="http://schemas.openxmlformats.org/officeDocument/2006/relationships/hyperlink" Target="http://pic.twitter.com/hoN2nwDtg9" TargetMode="External"/><Relationship Id="rId1813" Type="http://schemas.openxmlformats.org/officeDocument/2006/relationships/hyperlink" Target="https://youtu.be/RaSIX4-RPAI" TargetMode="External"/><Relationship Id="rId91" Type="http://schemas.openxmlformats.org/officeDocument/2006/relationships/hyperlink" Target="https://pbs.twimg.com/media/Dsnah_rWkAYbTJO.jpg" TargetMode="External"/><Relationship Id="rId187" Type="http://schemas.openxmlformats.org/officeDocument/2006/relationships/hyperlink" Target="http://www.bitmomentum.com/" TargetMode="External"/><Relationship Id="rId394" Type="http://schemas.openxmlformats.org/officeDocument/2006/relationships/hyperlink" Target="http://bit.ly/2A42CoE" TargetMode="External"/><Relationship Id="rId408" Type="http://schemas.openxmlformats.org/officeDocument/2006/relationships/hyperlink" Target="https://pbs.twimg.com/media/DseVudOWsAIdL1b.jpg" TargetMode="External"/><Relationship Id="rId615" Type="http://schemas.openxmlformats.org/officeDocument/2006/relationships/hyperlink" Target="https://pbs.twimg.com/media/DsXnPQ2WwAYKQ3v.jpg" TargetMode="External"/><Relationship Id="rId822" Type="http://schemas.openxmlformats.org/officeDocument/2006/relationships/hyperlink" Target="http://rr.ss/" TargetMode="External"/><Relationship Id="rId1038" Type="http://schemas.openxmlformats.org/officeDocument/2006/relationships/hyperlink" Target="http://www.recasesores.com/" TargetMode="External"/><Relationship Id="rId1245" Type="http://schemas.openxmlformats.org/officeDocument/2006/relationships/hyperlink" Target="http://laboratorio-mabuse.blogspot.com/" TargetMode="External"/><Relationship Id="rId1452" Type="http://schemas.openxmlformats.org/officeDocument/2006/relationships/hyperlink" Target="http://pic.twitter.com/iSuzJneP4Y" TargetMode="External"/><Relationship Id="rId1897" Type="http://schemas.openxmlformats.org/officeDocument/2006/relationships/hyperlink" Target="http://www.bitmomentum.com/" TargetMode="External"/><Relationship Id="rId2075" Type="http://schemas.openxmlformats.org/officeDocument/2006/relationships/hyperlink" Target="https://www.elmundo.es/f5/comparte/2018/11/12/5be9beeb468aeb8e558b45b4.html" TargetMode="External"/><Relationship Id="rId254" Type="http://schemas.openxmlformats.org/officeDocument/2006/relationships/hyperlink" Target="http://www.fac.es/" TargetMode="External"/><Relationship Id="rId699" Type="http://schemas.openxmlformats.org/officeDocument/2006/relationships/hyperlink" Target="http://youtu.be/rlqmncZinPQ?a" TargetMode="External"/><Relationship Id="rId1091" Type="http://schemas.openxmlformats.org/officeDocument/2006/relationships/hyperlink" Target="https://pbs.twimg.com/media/DsJLk3nXgAAOCQv.jpg" TargetMode="External"/><Relationship Id="rId1105" Type="http://schemas.openxmlformats.org/officeDocument/2006/relationships/hyperlink" Target="https://www.periodistadigital.com/periodismo/tv/2018/11/15/abascal-estalla-y-emite-un-demoledor-video-contra-ferreras-y-la-manipulacion-de-lasexta.shtml" TargetMode="External"/><Relationship Id="rId1312" Type="http://schemas.openxmlformats.org/officeDocument/2006/relationships/hyperlink" Target="https://m.eldiario.es/_31d646be" TargetMode="External"/><Relationship Id="rId1757" Type="http://schemas.openxmlformats.org/officeDocument/2006/relationships/hyperlink" Target="http://pic.twitter.com/GGc9Prl8te" TargetMode="External"/><Relationship Id="rId1964" Type="http://schemas.openxmlformats.org/officeDocument/2006/relationships/hyperlink" Target="http://www.bitmomentum.com/" TargetMode="External"/><Relationship Id="rId49" Type="http://schemas.openxmlformats.org/officeDocument/2006/relationships/hyperlink" Target="http://pic.twitter.com/JLaPpmqT6J" TargetMode="External"/><Relationship Id="rId114" Type="http://schemas.openxmlformats.org/officeDocument/2006/relationships/hyperlink" Target="http://www.bitmomentum.com/" TargetMode="External"/><Relationship Id="rId461" Type="http://schemas.openxmlformats.org/officeDocument/2006/relationships/hyperlink" Target="https://pbs.twimg.com/media/Dscw_3mXQAAwSvI.jpg" TargetMode="External"/><Relationship Id="rId559" Type="http://schemas.openxmlformats.org/officeDocument/2006/relationships/hyperlink" Target="https://pbs.twimg.com/media/DsX7PqNWsAArLxH.jpg" TargetMode="External"/><Relationship Id="rId766" Type="http://schemas.openxmlformats.org/officeDocument/2006/relationships/hyperlink" Target="https://youtu.be/RaSIX4-RPAI" TargetMode="External"/><Relationship Id="rId1189" Type="http://schemas.openxmlformats.org/officeDocument/2006/relationships/hyperlink" Target="https://www.libertaddigital.com/espana/2018-11-15/grosera-manipulacion-de-la-sexta-con-el-acto-de-vox-abascal-llego-a-amenazar-con-salir-1276628314/" TargetMode="External"/><Relationship Id="rId1396" Type="http://schemas.openxmlformats.org/officeDocument/2006/relationships/hyperlink" Target="http://www.periodistadigital.com/" TargetMode="External"/><Relationship Id="rId1617" Type="http://schemas.openxmlformats.org/officeDocument/2006/relationships/hyperlink" Target="http://pic.twitter.com/eNxczwgI9b" TargetMode="External"/><Relationship Id="rId1824" Type="http://schemas.openxmlformats.org/officeDocument/2006/relationships/hyperlink" Target="http://ow.ly/t5m230mC0kN" TargetMode="External"/><Relationship Id="rId198" Type="http://schemas.openxmlformats.org/officeDocument/2006/relationships/hyperlink" Target="http://pic.twitter.com/x1WBDIDZC3" TargetMode="External"/><Relationship Id="rId321" Type="http://schemas.openxmlformats.org/officeDocument/2006/relationships/hyperlink" Target="https://www.larazon.es/local/andalucia/quien-votara-a-vox-AF20614523" TargetMode="External"/><Relationship Id="rId419" Type="http://schemas.openxmlformats.org/officeDocument/2006/relationships/hyperlink" Target="http://www.bitmomentum.com/" TargetMode="External"/><Relationship Id="rId626" Type="http://schemas.openxmlformats.org/officeDocument/2006/relationships/hyperlink" Target="https://pbs.twimg.com/media/DsTjoDnWwAkgtrx.jpg" TargetMode="External"/><Relationship Id="rId973" Type="http://schemas.openxmlformats.org/officeDocument/2006/relationships/hyperlink" Target="https://pbs.twimg.com/media/DsMzW4TXgAAlouL.jpg" TargetMode="External"/><Relationship Id="rId1049" Type="http://schemas.openxmlformats.org/officeDocument/2006/relationships/hyperlink" Target="https://www.diaribalear.es/cartas-al-director-memoria-historica-las-checas/" TargetMode="External"/><Relationship Id="rId1256" Type="http://schemas.openxmlformats.org/officeDocument/2006/relationships/hyperlink" Target="http://pic.twitter.com/1hKMHlGbpI" TargetMode="External"/><Relationship Id="rId2002" Type="http://schemas.openxmlformats.org/officeDocument/2006/relationships/hyperlink" Target="http://www.bitmomentum.com/" TargetMode="External"/><Relationship Id="rId833" Type="http://schemas.openxmlformats.org/officeDocument/2006/relationships/hyperlink" Target="http://trendinalia.com/twitter-trending-topics/spain/" TargetMode="External"/><Relationship Id="rId1116" Type="http://schemas.openxmlformats.org/officeDocument/2006/relationships/hyperlink" Target="https://youtu.be/RaSIX4-RPAI" TargetMode="External"/><Relationship Id="rId1463" Type="http://schemas.openxmlformats.org/officeDocument/2006/relationships/hyperlink" Target="http://diariodeunamujerlibre.wordpress.com/" TargetMode="External"/><Relationship Id="rId1670" Type="http://schemas.openxmlformats.org/officeDocument/2006/relationships/hyperlink" Target="https://twitter.com/CasoAislado_Es/status/1062766747332288512" TargetMode="External"/><Relationship Id="rId1768" Type="http://schemas.openxmlformats.org/officeDocument/2006/relationships/hyperlink" Target="http://voxcartagena.es/" TargetMode="External"/><Relationship Id="rId265" Type="http://schemas.openxmlformats.org/officeDocument/2006/relationships/hyperlink" Target="http://www.actuabaleares.com/" TargetMode="External"/><Relationship Id="rId472" Type="http://schemas.openxmlformats.org/officeDocument/2006/relationships/hyperlink" Target="https://pbs.twimg.com/media/DsckMUtW0AUq8oS.jpg" TargetMode="External"/><Relationship Id="rId900" Type="http://schemas.openxmlformats.org/officeDocument/2006/relationships/hyperlink" Target="http://pic.twitter.com/b3VGzjEklH" TargetMode="External"/><Relationship Id="rId1323" Type="http://schemas.openxmlformats.org/officeDocument/2006/relationships/hyperlink" Target="https://www.diaribalear.es/" TargetMode="External"/><Relationship Id="rId1530" Type="http://schemas.openxmlformats.org/officeDocument/2006/relationships/hyperlink" Target="https://pbs.twimg.com/media/DsCC_yKWoAEmUaA.jpg" TargetMode="External"/><Relationship Id="rId1628" Type="http://schemas.openxmlformats.org/officeDocument/2006/relationships/hyperlink" Target="http://pic.twitter.com/74wkSiUJTp" TargetMode="External"/><Relationship Id="rId1975" Type="http://schemas.openxmlformats.org/officeDocument/2006/relationships/hyperlink" Target="https://pbs.twimg.com/media/Dr5_l1nX4AMMGIo.jpg" TargetMode="External"/><Relationship Id="rId125" Type="http://schemas.openxmlformats.org/officeDocument/2006/relationships/hyperlink" Target="http://www.bitmomentum.com/" TargetMode="External"/><Relationship Id="rId332" Type="http://schemas.openxmlformats.org/officeDocument/2006/relationships/hyperlink" Target="http://unpobrecitohablador.tumblr.com/" TargetMode="External"/><Relationship Id="rId777" Type="http://schemas.openxmlformats.org/officeDocument/2006/relationships/hyperlink" Target="https://pbs.twimg.com/media/DsSw2UqWoAIq6bS.jpg" TargetMode="External"/><Relationship Id="rId984" Type="http://schemas.openxmlformats.org/officeDocument/2006/relationships/hyperlink" Target="http://canasporespana.es/" TargetMode="External"/><Relationship Id="rId1835" Type="http://schemas.openxmlformats.org/officeDocument/2006/relationships/hyperlink" Target="https://pbs.twimg.com/media/Dr9PIUKWsAA3Jft.jpg" TargetMode="External"/><Relationship Id="rId2013" Type="http://schemas.openxmlformats.org/officeDocument/2006/relationships/hyperlink" Target="http://www.huffingtonpost.es/" TargetMode="External"/><Relationship Id="rId637" Type="http://schemas.openxmlformats.org/officeDocument/2006/relationships/hyperlink" Target="https://www.vilaweb.cat/noticies/disposats-a-morir/" TargetMode="External"/><Relationship Id="rId844" Type="http://schemas.openxmlformats.org/officeDocument/2006/relationships/hyperlink" Target="https://pbs.twimg.com/media/DsNLM7_X4AAtFUq.jpg" TargetMode="External"/><Relationship Id="rId1267" Type="http://schemas.openxmlformats.org/officeDocument/2006/relationships/hyperlink" Target="https://pbs.twimg.com/media/DsFKZTUXcAAYiML.jpg" TargetMode="External"/><Relationship Id="rId1474" Type="http://schemas.openxmlformats.org/officeDocument/2006/relationships/hyperlink" Target="https://twitter.com/sublinismo/status/1063059037003177985" TargetMode="External"/><Relationship Id="rId1681" Type="http://schemas.openxmlformats.org/officeDocument/2006/relationships/hyperlink" Target="http://pic.twitter.com/VXk95OxgLz" TargetMode="External"/><Relationship Id="rId1902" Type="http://schemas.openxmlformats.org/officeDocument/2006/relationships/hyperlink" Target="http://www.bitmomentum.com/" TargetMode="External"/><Relationship Id="rId276" Type="http://schemas.openxmlformats.org/officeDocument/2006/relationships/hyperlink" Target="https://twitter.com/Alfonbay/status/1065005207564808193" TargetMode="External"/><Relationship Id="rId483" Type="http://schemas.openxmlformats.org/officeDocument/2006/relationships/hyperlink" Target="https://www.youtube.com/watch?v=IXsc3TH6F60" TargetMode="External"/><Relationship Id="rId690" Type="http://schemas.openxmlformats.org/officeDocument/2006/relationships/hyperlink" Target="https://pbs.twimg.com/media/DsUepSXX4AUKmMk.jpg" TargetMode="External"/><Relationship Id="rId704" Type="http://schemas.openxmlformats.org/officeDocument/2006/relationships/hyperlink" Target="http://pic.twitter.com/vo1drdMNIU" TargetMode="External"/><Relationship Id="rId911" Type="http://schemas.openxmlformats.org/officeDocument/2006/relationships/hyperlink" Target="https://pbs.twimg.com/media/DsNyrcBWoAAHhqr.jpg" TargetMode="External"/><Relationship Id="rId1127" Type="http://schemas.openxmlformats.org/officeDocument/2006/relationships/hyperlink" Target="https://pbs.twimg.com/media/DsISHJtWsAAVeRl.jpg" TargetMode="External"/><Relationship Id="rId1334" Type="http://schemas.openxmlformats.org/officeDocument/2006/relationships/hyperlink" Target="http://ver.abc.es/qi4li1" TargetMode="External"/><Relationship Id="rId1541" Type="http://schemas.openxmlformats.org/officeDocument/2006/relationships/hyperlink" Target="https://www.diaribalear.es/" TargetMode="External"/><Relationship Id="rId1779" Type="http://schemas.openxmlformats.org/officeDocument/2006/relationships/hyperlink" Target="http://www.twitch.tv/quorom" TargetMode="External"/><Relationship Id="rId1986" Type="http://schemas.openxmlformats.org/officeDocument/2006/relationships/hyperlink" Target="https://www.elplural.com/politica/pagos-opacos-desde-suiza-en-la-manifestacion-que-unira-a-pp-ciudadanos-y-vox_206199102" TargetMode="External"/><Relationship Id="rId40" Type="http://schemas.openxmlformats.org/officeDocument/2006/relationships/hyperlink" Target="https://www.youtube.com/channel/UCzAeV22GnQxwUBokDOEyb4A" TargetMode="External"/><Relationship Id="rId136" Type="http://schemas.openxmlformats.org/officeDocument/2006/relationships/hyperlink" Target="https://pbs.twimg.com/media/DsmlHBaWsAUAF61.jpg" TargetMode="External"/><Relationship Id="rId343" Type="http://schemas.openxmlformats.org/officeDocument/2006/relationships/hyperlink" Target="http://www.bitmomentum.com/" TargetMode="External"/><Relationship Id="rId550" Type="http://schemas.openxmlformats.org/officeDocument/2006/relationships/hyperlink" Target="https://pbs.twimg.com/media/DsZKDOXXcAA7uOT.jpg" TargetMode="External"/><Relationship Id="rId788" Type="http://schemas.openxmlformats.org/officeDocument/2006/relationships/hyperlink" Target="https://twitter.com/TorresAren/status/1063967336636604416" TargetMode="External"/><Relationship Id="rId995" Type="http://schemas.openxmlformats.org/officeDocument/2006/relationships/hyperlink" Target="https://instagram.com/angel_esojo/" TargetMode="External"/><Relationship Id="rId1180" Type="http://schemas.openxmlformats.org/officeDocument/2006/relationships/hyperlink" Target="https://twitter.com/FSerranoCastro/status/1063365577954287621" TargetMode="External"/><Relationship Id="rId1401" Type="http://schemas.openxmlformats.org/officeDocument/2006/relationships/hyperlink" Target="https://twitter.com/gallifantes/status/1063021210299174912" TargetMode="External"/><Relationship Id="rId1639" Type="http://schemas.openxmlformats.org/officeDocument/2006/relationships/hyperlink" Target="https://twitter.com/SER_Murcia/status/1062766449436094466" TargetMode="External"/><Relationship Id="rId1846" Type="http://schemas.openxmlformats.org/officeDocument/2006/relationships/hyperlink" Target="http://www.bitmomentum.com/" TargetMode="External"/><Relationship Id="rId2024" Type="http://schemas.openxmlformats.org/officeDocument/2006/relationships/hyperlink" Target="https://pbs.twimg.com/media/Dr5IhLtWwAEHZYc.jpg" TargetMode="External"/><Relationship Id="rId203" Type="http://schemas.openxmlformats.org/officeDocument/2006/relationships/hyperlink" Target="https://instagram.com/angel_esojo/" TargetMode="External"/><Relationship Id="rId648" Type="http://schemas.openxmlformats.org/officeDocument/2006/relationships/hyperlink" Target="https://pbs.twimg.com/media/DsXBaYcXcAAjzZv.jpg" TargetMode="External"/><Relationship Id="rId855" Type="http://schemas.openxmlformats.org/officeDocument/2006/relationships/hyperlink" Target="https://okdiario.com/general/2018/11/17/vox-promete-expulsar-senoritos-san-telmo-chavistas-andaluzas-3362454/amp?utm_term=Autofeed&amp;utm_campaign=ok&amp;utm_medium=Social&amp;utm_source=Twitter&amp;__twitter_impression=true" TargetMode="External"/><Relationship Id="rId1040" Type="http://schemas.openxmlformats.org/officeDocument/2006/relationships/hyperlink" Target="https://pbs.twimg.com/media/DsJjNp5XgAA6voV.jpg" TargetMode="External"/><Relationship Id="rId1278" Type="http://schemas.openxmlformats.org/officeDocument/2006/relationships/hyperlink" Target="http://pic.twitter.com/GGc9Prl8te" TargetMode="External"/><Relationship Id="rId1485" Type="http://schemas.openxmlformats.org/officeDocument/2006/relationships/hyperlink" Target="https://pbs.twimg.com/media/DsC1rFQWkAAjj_j.jpg" TargetMode="External"/><Relationship Id="rId1692" Type="http://schemas.openxmlformats.org/officeDocument/2006/relationships/hyperlink" Target="http://www.voxespana.es/" TargetMode="External"/><Relationship Id="rId1706" Type="http://schemas.openxmlformats.org/officeDocument/2006/relationships/hyperlink" Target="https://www.diaribalear.es/" TargetMode="External"/><Relationship Id="rId1913" Type="http://schemas.openxmlformats.org/officeDocument/2006/relationships/hyperlink" Target="http://www.bitmomentum.com/" TargetMode="External"/><Relationship Id="rId287" Type="http://schemas.openxmlformats.org/officeDocument/2006/relationships/hyperlink" Target="https://twitter.com/ZacEfron/status/1064991224044707841" TargetMode="External"/><Relationship Id="rId410" Type="http://schemas.openxmlformats.org/officeDocument/2006/relationships/hyperlink" Target="http://www.voxespana.es/" TargetMode="External"/><Relationship Id="rId494" Type="http://schemas.openxmlformats.org/officeDocument/2006/relationships/hyperlink" Target="http://pic.twitter.com/rQl8ABWxA2" TargetMode="External"/><Relationship Id="rId508" Type="http://schemas.openxmlformats.org/officeDocument/2006/relationships/hyperlink" Target="https://pbs.twimg.com/media/DsZxVPCX4AAFPeh.jpg" TargetMode="External"/><Relationship Id="rId715" Type="http://schemas.openxmlformats.org/officeDocument/2006/relationships/hyperlink" Target="https://pbs.twimg.com/media/DsUBbwBXcAAMseE.jpg" TargetMode="External"/><Relationship Id="rId922" Type="http://schemas.openxmlformats.org/officeDocument/2006/relationships/hyperlink" Target="https://twitter.com/alejandroTGN/status/1063771356762988550" TargetMode="External"/><Relationship Id="rId1138" Type="http://schemas.openxmlformats.org/officeDocument/2006/relationships/hyperlink" Target="http://opinionesextremas.blogspot.com/" TargetMode="External"/><Relationship Id="rId1345" Type="http://schemas.openxmlformats.org/officeDocument/2006/relationships/hyperlink" Target="https://pbs.twimg.com/media/DsETI57XgAEPI31.jpg" TargetMode="External"/><Relationship Id="rId1552" Type="http://schemas.openxmlformats.org/officeDocument/2006/relationships/hyperlink" Target="https://chn.ge/2zFfoLl" TargetMode="External"/><Relationship Id="rId1997" Type="http://schemas.openxmlformats.org/officeDocument/2006/relationships/hyperlink" Target="https://www.abc.es/espana/abci-psoe-busca-condena-senado-franquismo-2o-n-201811131254_noticia.html" TargetMode="External"/><Relationship Id="rId147" Type="http://schemas.openxmlformats.org/officeDocument/2006/relationships/hyperlink" Target="https://pbs.twimg.com/media/Dseb3ywUUAA7Nkc.jpg" TargetMode="External"/><Relationship Id="rId354" Type="http://schemas.openxmlformats.org/officeDocument/2006/relationships/hyperlink" Target="http://www.bitmomentum.com/" TargetMode="External"/><Relationship Id="rId799" Type="http://schemas.openxmlformats.org/officeDocument/2006/relationships/hyperlink" Target="https://pbs.twimg.com/media/DsSI0ulWsAYE3J3.jpg" TargetMode="External"/><Relationship Id="rId1191" Type="http://schemas.openxmlformats.org/officeDocument/2006/relationships/hyperlink" Target="https://www.larazon.es/local/andalucia/la-junta-contrata-de-forma-irregular-a-la-hija-de-la-consejera-de-salud-AC20551098" TargetMode="External"/><Relationship Id="rId1205" Type="http://schemas.openxmlformats.org/officeDocument/2006/relationships/hyperlink" Target="https://www.elmundo.es/f5/comparte/2018/11/12/5be9beeb468aeb8e558b45b4.html" TargetMode="External"/><Relationship Id="rId1857" Type="http://schemas.openxmlformats.org/officeDocument/2006/relationships/hyperlink" Target="https://pbs.twimg.com/media/Dr84KCNXQAUew4C.jpg" TargetMode="External"/><Relationship Id="rId2035" Type="http://schemas.openxmlformats.org/officeDocument/2006/relationships/hyperlink" Target="http://www.medium.com/@lorenzovonmatterhornisreal" TargetMode="External"/><Relationship Id="rId51" Type="http://schemas.openxmlformats.org/officeDocument/2006/relationships/hyperlink" Target="https://pbs.twimg.com/media/DsmXLiPWoAUra2Z.jpg" TargetMode="External"/><Relationship Id="rId561" Type="http://schemas.openxmlformats.org/officeDocument/2006/relationships/hyperlink" Target="http://pic.twitter.com/rQl8ABWxA2" TargetMode="External"/><Relationship Id="rId659" Type="http://schemas.openxmlformats.org/officeDocument/2006/relationships/hyperlink" Target="https://www.periodistadigital.com/periodismo/tv/2018/11/15/abascal-estalla-y-emite-un-demoledor-video-contra-ferreras-y-la-manipulacion-de-lasexta.shtml" TargetMode="External"/><Relationship Id="rId866" Type="http://schemas.openxmlformats.org/officeDocument/2006/relationships/hyperlink" Target="https://twitter.com/ZassCometro/status/1063869403362676736" TargetMode="External"/><Relationship Id="rId1289" Type="http://schemas.openxmlformats.org/officeDocument/2006/relationships/hyperlink" Target="https://pbs.twimg.com/media/DsExRCjX0AAIK_V.jpg" TargetMode="External"/><Relationship Id="rId1412" Type="http://schemas.openxmlformats.org/officeDocument/2006/relationships/hyperlink" Target="https://pbs.twimg.com/media/DsDqCCEX4AEZVBv.jpg" TargetMode="External"/><Relationship Id="rId1496" Type="http://schemas.openxmlformats.org/officeDocument/2006/relationships/hyperlink" Target="https://youtu.be/npe7qut04G4" TargetMode="External"/><Relationship Id="rId1717" Type="http://schemas.openxmlformats.org/officeDocument/2006/relationships/hyperlink" Target="http://pic.twitter.com/01gUnyy3JL" TargetMode="External"/><Relationship Id="rId1924" Type="http://schemas.openxmlformats.org/officeDocument/2006/relationships/hyperlink" Target="http://pic.twitter.com/SyT2lD6uaH" TargetMode="External"/><Relationship Id="rId214" Type="http://schemas.openxmlformats.org/officeDocument/2006/relationships/hyperlink" Target="https://youtu.be/RaSIX4-RPAI" TargetMode="External"/><Relationship Id="rId298" Type="http://schemas.openxmlformats.org/officeDocument/2006/relationships/hyperlink" Target="http://pic.twitter.com/foCEgeZusl" TargetMode="External"/><Relationship Id="rId421" Type="http://schemas.openxmlformats.org/officeDocument/2006/relationships/hyperlink" Target="http://www.sevillainfo.es/" TargetMode="External"/><Relationship Id="rId519" Type="http://schemas.openxmlformats.org/officeDocument/2006/relationships/hyperlink" Target="http://www.voxespana.es/" TargetMode="External"/><Relationship Id="rId1051" Type="http://schemas.openxmlformats.org/officeDocument/2006/relationships/hyperlink" Target="https://pbs.twimg.com/media/DsJ4gFhWsAAiFBZ.jpg" TargetMode="External"/><Relationship Id="rId1149" Type="http://schemas.openxmlformats.org/officeDocument/2006/relationships/hyperlink" Target="http://www.esdiario.com/" TargetMode="External"/><Relationship Id="rId1356" Type="http://schemas.openxmlformats.org/officeDocument/2006/relationships/hyperlink" Target="https://twitter.com/alonso_dm/status/1063061372873908225" TargetMode="External"/><Relationship Id="rId158" Type="http://schemas.openxmlformats.org/officeDocument/2006/relationships/hyperlink" Target="https://www.diaribalear.es/" TargetMode="External"/><Relationship Id="rId726" Type="http://schemas.openxmlformats.org/officeDocument/2006/relationships/hyperlink" Target="http://horasur.com/" TargetMode="External"/><Relationship Id="rId933" Type="http://schemas.openxmlformats.org/officeDocument/2006/relationships/hyperlink" Target="http://www.elindependiente.com/" TargetMode="External"/><Relationship Id="rId1009" Type="http://schemas.openxmlformats.org/officeDocument/2006/relationships/hyperlink" Target="https://pbs.twimg.com/media/DsL_DBqWsAE75Jj.jpg" TargetMode="External"/><Relationship Id="rId1563" Type="http://schemas.openxmlformats.org/officeDocument/2006/relationships/hyperlink" Target="http://pic.twitter.com/GGc9Prl8te" TargetMode="External"/><Relationship Id="rId1770" Type="http://schemas.openxmlformats.org/officeDocument/2006/relationships/hyperlink" Target="http://pic.twitter.com/zOkYAOMZM5" TargetMode="External"/><Relationship Id="rId1868" Type="http://schemas.openxmlformats.org/officeDocument/2006/relationships/hyperlink" Target="https://twitter.com/Rafa_Hernando/status/1062006470898786304" TargetMode="External"/><Relationship Id="rId62" Type="http://schemas.openxmlformats.org/officeDocument/2006/relationships/hyperlink" Target="https://pbs.twimg.com/media/Dso3FWjXoAEa-h4.jpg" TargetMode="External"/><Relationship Id="rId365" Type="http://schemas.openxmlformats.org/officeDocument/2006/relationships/hyperlink" Target="https://pbs.twimg.com/media/DsfCSAaW0AE0vF5.jpg" TargetMode="External"/><Relationship Id="rId572" Type="http://schemas.openxmlformats.org/officeDocument/2006/relationships/hyperlink" Target="http://pic.twitter.com/jZNIjN8Zc4" TargetMode="External"/><Relationship Id="rId1216" Type="http://schemas.openxmlformats.org/officeDocument/2006/relationships/hyperlink" Target="https://twitter.com/Santi_ABASCAL/status/1063069836908134402" TargetMode="External"/><Relationship Id="rId1423" Type="http://schemas.openxmlformats.org/officeDocument/2006/relationships/hyperlink" Target="https://twitter.com/Santi_ABASCAL/status/1063069836908134402" TargetMode="External"/><Relationship Id="rId1630" Type="http://schemas.openxmlformats.org/officeDocument/2006/relationships/hyperlink" Target="http://pic.twitter.com/01gUnyy3JL" TargetMode="External"/><Relationship Id="rId2046" Type="http://schemas.openxmlformats.org/officeDocument/2006/relationships/hyperlink" Target="https://pbs.twimg.com/media/Dr42RyfWkAAmQe3.jpg" TargetMode="External"/><Relationship Id="rId225" Type="http://schemas.openxmlformats.org/officeDocument/2006/relationships/hyperlink" Target="http://www.aizcorbe.com/" TargetMode="External"/><Relationship Id="rId432" Type="http://schemas.openxmlformats.org/officeDocument/2006/relationships/hyperlink" Target="https://eldebate.es/" TargetMode="External"/><Relationship Id="rId877" Type="http://schemas.openxmlformats.org/officeDocument/2006/relationships/hyperlink" Target="http://ww.cope.es/fei2c1" TargetMode="External"/><Relationship Id="rId1062" Type="http://schemas.openxmlformats.org/officeDocument/2006/relationships/hyperlink" Target="https://twitter.com/VoxCordoba/status/1063310150730166273" TargetMode="External"/><Relationship Id="rId1728" Type="http://schemas.openxmlformats.org/officeDocument/2006/relationships/hyperlink" Target="http://www.voxespana.es/" TargetMode="External"/><Relationship Id="rId1935" Type="http://schemas.openxmlformats.org/officeDocument/2006/relationships/hyperlink" Target="http://menorca.info/" TargetMode="External"/><Relationship Id="rId737" Type="http://schemas.openxmlformats.org/officeDocument/2006/relationships/hyperlink" Target="https://youtu.be/RaSIX4-RPAI" TargetMode="External"/><Relationship Id="rId944" Type="http://schemas.openxmlformats.org/officeDocument/2006/relationships/hyperlink" Target="https://www.voxespana.es/afiliarse-a-vox" TargetMode="External"/><Relationship Id="rId1367" Type="http://schemas.openxmlformats.org/officeDocument/2006/relationships/hyperlink" Target="https://www.periodistadigital.com/periodismo/tv/2018/11/15/abascal-estalla-y-emite-un-demoledor-video-contra-ferreras-y-la-manipulacion-de-lasexta.shtml" TargetMode="External"/><Relationship Id="rId1574" Type="http://schemas.openxmlformats.org/officeDocument/2006/relationships/hyperlink" Target="http://pic.twitter.com/WUV7f4vRJo" TargetMode="External"/><Relationship Id="rId1781" Type="http://schemas.openxmlformats.org/officeDocument/2006/relationships/hyperlink" Target="https://twitter.com/Vox_Murcia/status/1054748065373044737" TargetMode="External"/><Relationship Id="rId73" Type="http://schemas.openxmlformats.org/officeDocument/2006/relationships/hyperlink" Target="https://pbs.twimg.com/media/DsogHjLWkAINqxu.jpg" TargetMode="External"/><Relationship Id="rId169" Type="http://schemas.openxmlformats.org/officeDocument/2006/relationships/hyperlink" Target="http://www.bitmomentum.com/" TargetMode="External"/><Relationship Id="rId376" Type="http://schemas.openxmlformats.org/officeDocument/2006/relationships/hyperlink" Target="http://pic.twitter.com/RAXJ4GvaaS" TargetMode="External"/><Relationship Id="rId583" Type="http://schemas.openxmlformats.org/officeDocument/2006/relationships/hyperlink" Target="https://pbs.twimg.com/media/DsYP7k9WwAAmG0i.jpg" TargetMode="External"/><Relationship Id="rId790" Type="http://schemas.openxmlformats.org/officeDocument/2006/relationships/hyperlink" Target="https://pbs.twimg.com/media/DsSX1C7XcAA8EgY.jpg" TargetMode="External"/><Relationship Id="rId804" Type="http://schemas.openxmlformats.org/officeDocument/2006/relationships/hyperlink" Target="https://pbs.twimg.com/media/DsR03ejWwAA3HDO.jpg" TargetMode="External"/><Relationship Id="rId1227" Type="http://schemas.openxmlformats.org/officeDocument/2006/relationships/hyperlink" Target="http://www.periodistadigital.com/" TargetMode="External"/><Relationship Id="rId1434" Type="http://schemas.openxmlformats.org/officeDocument/2006/relationships/hyperlink" Target="http://pic.twitter.com/U4VNtviqdA" TargetMode="External"/><Relationship Id="rId1641" Type="http://schemas.openxmlformats.org/officeDocument/2006/relationships/hyperlink" Target="https://youtu.be/RaSIX4-RPAI" TargetMode="External"/><Relationship Id="rId1879" Type="http://schemas.openxmlformats.org/officeDocument/2006/relationships/hyperlink" Target="https://twitter.com/trendinaliaES/timelines/1062588648367960064" TargetMode="External"/><Relationship Id="rId2057" Type="http://schemas.openxmlformats.org/officeDocument/2006/relationships/hyperlink" Target="https://twitter.com/Asil_Vestra0/status/1062306040606347264" TargetMode="External"/><Relationship Id="rId4" Type="http://schemas.openxmlformats.org/officeDocument/2006/relationships/hyperlink" Target="https://pbs.twimg.com/media/Dssc8YVXcAAY6oS.png" TargetMode="External"/><Relationship Id="rId236" Type="http://schemas.openxmlformats.org/officeDocument/2006/relationships/hyperlink" Target="https://pbs.twimg.com/media/DsjS0kBXgAA2L7m.jpg" TargetMode="External"/><Relationship Id="rId443" Type="http://schemas.openxmlformats.org/officeDocument/2006/relationships/hyperlink" Target="http://www.bitmomentum.com/" TargetMode="External"/><Relationship Id="rId650" Type="http://schemas.openxmlformats.org/officeDocument/2006/relationships/hyperlink" Target="https://twitter.com/BenegasJ/status/1064452543470813185" TargetMode="External"/><Relationship Id="rId888" Type="http://schemas.openxmlformats.org/officeDocument/2006/relationships/hyperlink" Target="https://twitter.com/Arran_jovent/status/1062630299463532544" TargetMode="External"/><Relationship Id="rId1073" Type="http://schemas.openxmlformats.org/officeDocument/2006/relationships/hyperlink" Target="http://www.elindependiente.com/autor/carmen-torres/" TargetMode="External"/><Relationship Id="rId1280" Type="http://schemas.openxmlformats.org/officeDocument/2006/relationships/hyperlink" Target="https://youtu.be/BQdqDcAqPuE" TargetMode="External"/><Relationship Id="rId1501" Type="http://schemas.openxmlformats.org/officeDocument/2006/relationships/hyperlink" Target="https://www.change.org/p/maria-cristina-torres-gomez-justicia-para-vianca-moreno?recruiter=17872279&amp;" TargetMode="External"/><Relationship Id="rId1739" Type="http://schemas.openxmlformats.org/officeDocument/2006/relationships/hyperlink" Target="http://pic.twitter.com/JvtjujIF52" TargetMode="External"/><Relationship Id="rId1946" Type="http://schemas.openxmlformats.org/officeDocument/2006/relationships/hyperlink" Target="https://www.elplural.com/politica/magrebies-okupas-y-sarnosos-el-nuevo-lio-de-santi-abascal-en-twitter_206177102" TargetMode="External"/><Relationship Id="rId303" Type="http://schemas.openxmlformats.org/officeDocument/2006/relationships/hyperlink" Target="https://twitter.com/ZacEfron/status/1064991224044707841" TargetMode="External"/><Relationship Id="rId748" Type="http://schemas.openxmlformats.org/officeDocument/2006/relationships/hyperlink" Target="http://instagram.com/its.seergii" TargetMode="External"/><Relationship Id="rId955" Type="http://schemas.openxmlformats.org/officeDocument/2006/relationships/hyperlink" Target="http://lecheybananas.blogspot.com/" TargetMode="External"/><Relationship Id="rId1140" Type="http://schemas.openxmlformats.org/officeDocument/2006/relationships/hyperlink" Target="https://www.elcorreodemadrid.com/opinion/775683757/Vox-victima-del-continuo-recurso-a-la-violencia-de-la-izquierda.-Por-Juan-E.-Pfluger.html" TargetMode="External"/><Relationship Id="rId1378" Type="http://schemas.openxmlformats.org/officeDocument/2006/relationships/hyperlink" Target="https://okdiario.com/espana/madrid/2018/11/15/carmena-vuelve-subirse-sueldo-ya-gana-104-000-4-000-mas-que-ana-botella-3350688" TargetMode="External"/><Relationship Id="rId1585" Type="http://schemas.openxmlformats.org/officeDocument/2006/relationships/hyperlink" Target="https://www.esdiario.com/872828175/Iglesias-y-Montero-aumentan-su-sueldo-.000-euros-para-pagar-el-chalet.html" TargetMode="External"/><Relationship Id="rId1792" Type="http://schemas.openxmlformats.org/officeDocument/2006/relationships/hyperlink" Target="https://curiouscat.me/rolldeepm" TargetMode="External"/><Relationship Id="rId1806" Type="http://schemas.openxmlformats.org/officeDocument/2006/relationships/hyperlink" Target="http://pic.twitter.com/i53Fa47cIZ" TargetMode="External"/><Relationship Id="rId84" Type="http://schemas.openxmlformats.org/officeDocument/2006/relationships/hyperlink" Target="https://pbs.twimg.com/media/Dsn7nxfV4AA2qqa.jpg" TargetMode="External"/><Relationship Id="rId387" Type="http://schemas.openxmlformats.org/officeDocument/2006/relationships/hyperlink" Target="https://pbs.twimg.com/media/DsemJkTWoAE5YC1.jpg" TargetMode="External"/><Relationship Id="rId510" Type="http://schemas.openxmlformats.org/officeDocument/2006/relationships/hyperlink" Target="https://pbs.twimg.com/media/DsZuUKkW0AEBBQd.jpg" TargetMode="External"/><Relationship Id="rId594" Type="http://schemas.openxmlformats.org/officeDocument/2006/relationships/hyperlink" Target="https://twitter.com/juanrallo/status/1064514688661241857" TargetMode="External"/><Relationship Id="rId608" Type="http://schemas.openxmlformats.org/officeDocument/2006/relationships/hyperlink" Target="https://twitter.com/Alternativa_VOX/status/1064444398472175616" TargetMode="External"/><Relationship Id="rId815" Type="http://schemas.openxmlformats.org/officeDocument/2006/relationships/hyperlink" Target="http://pic.twitter.com/jpwJQ5HP1u" TargetMode="External"/><Relationship Id="rId1238" Type="http://schemas.openxmlformats.org/officeDocument/2006/relationships/hyperlink" Target="https://twitter.com/planeterito/status/1062782038934282240" TargetMode="External"/><Relationship Id="rId1445" Type="http://schemas.openxmlformats.org/officeDocument/2006/relationships/hyperlink" Target="http://youtu.be/5LeDQjo7Cww?a" TargetMode="External"/><Relationship Id="rId1652" Type="http://schemas.openxmlformats.org/officeDocument/2006/relationships/hyperlink" Target="https://www.youtube.com/channel/UCzAeV22GnQxwUBokDOEyb4A" TargetMode="External"/><Relationship Id="rId2068" Type="http://schemas.openxmlformats.org/officeDocument/2006/relationships/hyperlink" Target="https://pbs.twimg.com/media/Dr4sZHbXQAIuLmJ.jpg" TargetMode="External"/><Relationship Id="rId247" Type="http://schemas.openxmlformats.org/officeDocument/2006/relationships/hyperlink" Target="https://twitter.com/PPineros_/status/1065276838472232965" TargetMode="External"/><Relationship Id="rId899" Type="http://schemas.openxmlformats.org/officeDocument/2006/relationships/hyperlink" Target="https://twitter.com/Santi_ABASCAL/status/1063817852459847680" TargetMode="External"/><Relationship Id="rId1000" Type="http://schemas.openxmlformats.org/officeDocument/2006/relationships/hyperlink" Target="https://pbs.twimg.com/media/DsJiZunXQAEIMPf.jpg" TargetMode="External"/><Relationship Id="rId1084" Type="http://schemas.openxmlformats.org/officeDocument/2006/relationships/hyperlink" Target="https://pbs.twimg.com/media/DsJWTf-WsAYZFWm.jpg" TargetMode="External"/><Relationship Id="rId1305" Type="http://schemas.openxmlformats.org/officeDocument/2006/relationships/hyperlink" Target="https://www.infojobs.net/joseignacio-delgado-garcia.prf" TargetMode="External"/><Relationship Id="rId1957" Type="http://schemas.openxmlformats.org/officeDocument/2006/relationships/hyperlink" Target="https://pbs.twimg.com/media/Dr6Ocy0XcAEP1x9.jpg" TargetMode="External"/><Relationship Id="rId107" Type="http://schemas.openxmlformats.org/officeDocument/2006/relationships/hyperlink" Target="http://www.elcorreodemadrid.com/" TargetMode="External"/><Relationship Id="rId454" Type="http://schemas.openxmlformats.org/officeDocument/2006/relationships/hyperlink" Target="http://www.bitmomentum.com/" TargetMode="External"/><Relationship Id="rId661" Type="http://schemas.openxmlformats.org/officeDocument/2006/relationships/hyperlink" Target="https://twitter.com/HispaniaSpain/status/1064260333425037317" TargetMode="External"/><Relationship Id="rId759" Type="http://schemas.openxmlformats.org/officeDocument/2006/relationships/hyperlink" Target="http://www.politicaytu.com/" TargetMode="External"/><Relationship Id="rId966" Type="http://schemas.openxmlformats.org/officeDocument/2006/relationships/hyperlink" Target="https://www.mateomate.com/obra/area-restringida/" TargetMode="External"/><Relationship Id="rId1291" Type="http://schemas.openxmlformats.org/officeDocument/2006/relationships/hyperlink" Target="https://pbs.twimg.com/media/DsEqLNkX0AAvxaq.jpg" TargetMode="External"/><Relationship Id="rId1389" Type="http://schemas.openxmlformats.org/officeDocument/2006/relationships/hyperlink" Target="http://www.libertaddigital.com/opinion/fray-josepho/" TargetMode="External"/><Relationship Id="rId1512" Type="http://schemas.openxmlformats.org/officeDocument/2006/relationships/hyperlink" Target="http://www.bitmomentum.com/" TargetMode="External"/><Relationship Id="rId1596" Type="http://schemas.openxmlformats.org/officeDocument/2006/relationships/hyperlink" Target="http://pic.twitter.com/Gygotr1kDR" TargetMode="External"/><Relationship Id="rId1817" Type="http://schemas.openxmlformats.org/officeDocument/2006/relationships/hyperlink" Target="https://pbs.twimg.com/media/Dr9e5hJXgAAI9sP.jpg" TargetMode="External"/><Relationship Id="rId11" Type="http://schemas.openxmlformats.org/officeDocument/2006/relationships/hyperlink" Target="https://www.facebook.com/josealberto.rodriguezarroyo.9" TargetMode="External"/><Relationship Id="rId314" Type="http://schemas.openxmlformats.org/officeDocument/2006/relationships/hyperlink" Target="https://pbs.twimg.com/media/DshTPvrWsAEaV66.jpg" TargetMode="External"/><Relationship Id="rId398" Type="http://schemas.openxmlformats.org/officeDocument/2006/relationships/hyperlink" Target="http://www.elcorreodemadrid.com/" TargetMode="External"/><Relationship Id="rId521" Type="http://schemas.openxmlformats.org/officeDocument/2006/relationships/hyperlink" Target="https://www.youtube.com/watch?v=SbOfqDlIUpU" TargetMode="External"/><Relationship Id="rId619" Type="http://schemas.openxmlformats.org/officeDocument/2006/relationships/hyperlink" Target="https://www.youtube.com/watch?v=eSnvSlFDEdc" TargetMode="External"/><Relationship Id="rId1151" Type="http://schemas.openxmlformats.org/officeDocument/2006/relationships/hyperlink" Target="https://twitter.com/eslamananadeFJL/status/1062988973432287232" TargetMode="External"/><Relationship Id="rId1249" Type="http://schemas.openxmlformats.org/officeDocument/2006/relationships/hyperlink" Target="https://www.periodistadigital.com/periodismo/tv/2018/11/15/abascal-estalla-y-emite-un-demoledor-video-contra-ferreras-y-la-manipulacion-de-lasexta.shtml" TargetMode="External"/><Relationship Id="rId95" Type="http://schemas.openxmlformats.org/officeDocument/2006/relationships/hyperlink" Target="https://elpais.com/politica/2018/11/22/actualidad/1542844409_768373.html" TargetMode="External"/><Relationship Id="rId160" Type="http://schemas.openxmlformats.org/officeDocument/2006/relationships/hyperlink" Target="http://www.casoaislado.com/" TargetMode="External"/><Relationship Id="rId826" Type="http://schemas.openxmlformats.org/officeDocument/2006/relationships/hyperlink" Target="http://youtu.be/CzPw1AMoHaM?a" TargetMode="External"/><Relationship Id="rId1011" Type="http://schemas.openxmlformats.org/officeDocument/2006/relationships/hyperlink" Target="http://trendinalia.com/twitter-trending-topics/spain/" TargetMode="External"/><Relationship Id="rId1109" Type="http://schemas.openxmlformats.org/officeDocument/2006/relationships/hyperlink" Target="https://www.periodistadigital.com/periodismo/tv/2018/11/15/abascal-estalla-y-emite-un-demoledor-video-contra-ferreras-y-la-manipulacion-de-lasexta.shtml" TargetMode="External"/><Relationship Id="rId1456" Type="http://schemas.openxmlformats.org/officeDocument/2006/relationships/hyperlink" Target="http://www.victorsanchezdelreal.com/" TargetMode="External"/><Relationship Id="rId1663" Type="http://schemas.openxmlformats.org/officeDocument/2006/relationships/hyperlink" Target="http://www.bitmomentum.com/" TargetMode="External"/><Relationship Id="rId1870" Type="http://schemas.openxmlformats.org/officeDocument/2006/relationships/hyperlink" Target="https://www.laopiniondemurcia.es/" TargetMode="External"/><Relationship Id="rId1968" Type="http://schemas.openxmlformats.org/officeDocument/2006/relationships/hyperlink" Target="https://twitter.com/evanpezu/status/1062419792987070466" TargetMode="External"/><Relationship Id="rId258" Type="http://schemas.openxmlformats.org/officeDocument/2006/relationships/hyperlink" Target="https://infovaticana.com/2018/11/21/el-pp-no-se-opone-a-la-totalitaria-ley-lgtbi-de-valencia-y-cs-vota-a-favor/?utm_medium=social&amp;utm_source=twitter&amp;utm_campaign=shareweb&amp;utm_content=footer&amp;utm_origin=footer" TargetMode="External"/><Relationship Id="rId465" Type="http://schemas.openxmlformats.org/officeDocument/2006/relationships/hyperlink" Target="https://pbs.twimg.com/media/DscupZDXcAUQQ29.jpg" TargetMode="External"/><Relationship Id="rId672" Type="http://schemas.openxmlformats.org/officeDocument/2006/relationships/hyperlink" Target="https://pbs.twimg.com/media/DsU9HcFW0AE1nSK.jpg" TargetMode="External"/><Relationship Id="rId1095" Type="http://schemas.openxmlformats.org/officeDocument/2006/relationships/hyperlink" Target="http://www.bitmomentum.com/" TargetMode="External"/><Relationship Id="rId1316" Type="http://schemas.openxmlformats.org/officeDocument/2006/relationships/hyperlink" Target="http://www.periodistadigital.com/periodismo/tv/2018/11/15/abascal-estalla-y-emite-un-demoledor-video-contra-ferreras-y-la-manipulacion-de-lasexta.shtml" TargetMode="External"/><Relationship Id="rId1523" Type="http://schemas.openxmlformats.org/officeDocument/2006/relationships/hyperlink" Target="https://pbs.twimg.com/media/DsCKvEtXcAAEkzr.jpg" TargetMode="External"/><Relationship Id="rId1730" Type="http://schemas.openxmlformats.org/officeDocument/2006/relationships/hyperlink" Target="https://youtu.be/uc7nbZ5FRso" TargetMode="External"/><Relationship Id="rId22" Type="http://schemas.openxmlformats.org/officeDocument/2006/relationships/hyperlink" Target="https://twitter.com/Davidsa82114513/status/1065908810768887808" TargetMode="External"/><Relationship Id="rId118" Type="http://schemas.openxmlformats.org/officeDocument/2006/relationships/hyperlink" Target="http://reinodetaifa.blogspot.com/" TargetMode="External"/><Relationship Id="rId325" Type="http://schemas.openxmlformats.org/officeDocument/2006/relationships/hyperlink" Target="http://pic.twitter.com/sljXlOQMm5" TargetMode="External"/><Relationship Id="rId532" Type="http://schemas.openxmlformats.org/officeDocument/2006/relationships/hyperlink" Target="http://eldiadecordoba.es/" TargetMode="External"/><Relationship Id="rId977" Type="http://schemas.openxmlformats.org/officeDocument/2006/relationships/hyperlink" Target="http://pic.twitter.com/Bdfwdvjuhy" TargetMode="External"/><Relationship Id="rId1162" Type="http://schemas.openxmlformats.org/officeDocument/2006/relationships/hyperlink" Target="https://pbs.twimg.com/media/DsHueIiWkAAO63K.jpg" TargetMode="External"/><Relationship Id="rId1828" Type="http://schemas.openxmlformats.org/officeDocument/2006/relationships/hyperlink" Target="http://www.bitmomentum.com/" TargetMode="External"/><Relationship Id="rId2006" Type="http://schemas.openxmlformats.org/officeDocument/2006/relationships/hyperlink" Target="http://www.voxespana.es/" TargetMode="External"/><Relationship Id="rId171" Type="http://schemas.openxmlformats.org/officeDocument/2006/relationships/hyperlink" Target="http://pic.twitter.com/sxdGMckFfg" TargetMode="External"/><Relationship Id="rId837" Type="http://schemas.openxmlformats.org/officeDocument/2006/relationships/hyperlink" Target="https://pbs.twimg.com/media/DsPqGE0WsAISGI2.jpg" TargetMode="External"/><Relationship Id="rId1022" Type="http://schemas.openxmlformats.org/officeDocument/2006/relationships/hyperlink" Target="https://pbs.twimg.com/media/DsKaWGvW0AAJGQQ.jpg" TargetMode="External"/><Relationship Id="rId1467" Type="http://schemas.openxmlformats.org/officeDocument/2006/relationships/hyperlink" Target="https://youtu.be/RaSIX4-RPAI" TargetMode="External"/><Relationship Id="rId1674" Type="http://schemas.openxmlformats.org/officeDocument/2006/relationships/hyperlink" Target="https://pbs.twimg.com/media/Dr_cZPdWoAcxQ6i.jpg" TargetMode="External"/><Relationship Id="rId1881" Type="http://schemas.openxmlformats.org/officeDocument/2006/relationships/hyperlink" Target="https://twitter.com/dan_aeon/status/1062453317387849728" TargetMode="External"/><Relationship Id="rId269" Type="http://schemas.openxmlformats.org/officeDocument/2006/relationships/hyperlink" Target="http://www.voxescorial.es/" TargetMode="External"/><Relationship Id="rId476" Type="http://schemas.openxmlformats.org/officeDocument/2006/relationships/hyperlink" Target="http://www.plafarma.org/" TargetMode="External"/><Relationship Id="rId683" Type="http://schemas.openxmlformats.org/officeDocument/2006/relationships/hyperlink" Target="https://twitter.com/vox_es/status/1064282153482113027" TargetMode="External"/><Relationship Id="rId890" Type="http://schemas.openxmlformats.org/officeDocument/2006/relationships/hyperlink" Target="https://pbs.twimg.com/media/DsONRoNW0AYkwcr.jpg" TargetMode="External"/><Relationship Id="rId904" Type="http://schemas.openxmlformats.org/officeDocument/2006/relationships/hyperlink" Target="http://pic.twitter.com/NGznAf4ZXO" TargetMode="External"/><Relationship Id="rId1327" Type="http://schemas.openxmlformats.org/officeDocument/2006/relationships/hyperlink" Target="https://www.periodistadigital.com/periodismo/tv/2018/11/15/abascal-estalla-y-emite-un-demoledor-video-contra-ferreras-y-la-manipulacion-de-lasexta.shtml" TargetMode="External"/><Relationship Id="rId1534" Type="http://schemas.openxmlformats.org/officeDocument/2006/relationships/hyperlink" Target="http://www.recasesores.com/" TargetMode="External"/><Relationship Id="rId1741" Type="http://schemas.openxmlformats.org/officeDocument/2006/relationships/hyperlink" Target="http://pic.twitter.com/46BDZ0GnU4" TargetMode="External"/><Relationship Id="rId1979" Type="http://schemas.openxmlformats.org/officeDocument/2006/relationships/hyperlink" Target="http://www.bitmomentum.com/" TargetMode="External"/><Relationship Id="rId33" Type="http://schemas.openxmlformats.org/officeDocument/2006/relationships/hyperlink" Target="https://pbs.twimg.com/media/DsrOQViWwAAVE8N.jpg" TargetMode="External"/><Relationship Id="rId129" Type="http://schemas.openxmlformats.org/officeDocument/2006/relationships/hyperlink" Target="https://twitter.com/ciudadanoscs/status/1065536686845759489" TargetMode="External"/><Relationship Id="rId336" Type="http://schemas.openxmlformats.org/officeDocument/2006/relationships/hyperlink" Target="https://www.instagram.com/p/BqasunCAxRx/?utm_source=ig_share_sheet&amp;igshid=tkhn1y5rcwuu" TargetMode="External"/><Relationship Id="rId543" Type="http://schemas.openxmlformats.org/officeDocument/2006/relationships/hyperlink" Target="http://www.diariodesevilla.es/" TargetMode="External"/><Relationship Id="rId988" Type="http://schemas.openxmlformats.org/officeDocument/2006/relationships/hyperlink" Target="https://www.youtube.com/channel/UClyJN-FNTY4LvrCTQS7_s0A" TargetMode="External"/><Relationship Id="rId1173" Type="http://schemas.openxmlformats.org/officeDocument/2006/relationships/hyperlink" Target="https://pbs.twimg.com/media/DsHpQLHXcAA0f7k.jpg" TargetMode="External"/><Relationship Id="rId1380" Type="http://schemas.openxmlformats.org/officeDocument/2006/relationships/hyperlink" Target="https://twitter.com/Santi_ABASCAL/status/1063069836908134402" TargetMode="External"/><Relationship Id="rId1601" Type="http://schemas.openxmlformats.org/officeDocument/2006/relationships/hyperlink" Target="http://pic.twitter.com/9Vh1oUhNi7" TargetMode="External"/><Relationship Id="rId1839" Type="http://schemas.openxmlformats.org/officeDocument/2006/relationships/hyperlink" Target="https://pbs.twimg.com/media/Dr9MP_NXQAA1Ka1.jpg" TargetMode="External"/><Relationship Id="rId2017" Type="http://schemas.openxmlformats.org/officeDocument/2006/relationships/hyperlink" Target="https://www.diaribalear.es/" TargetMode="External"/><Relationship Id="rId182" Type="http://schemas.openxmlformats.org/officeDocument/2006/relationships/hyperlink" Target="http://www.bitmomentum.com/" TargetMode="External"/><Relationship Id="rId403" Type="http://schemas.openxmlformats.org/officeDocument/2006/relationships/hyperlink" Target="https://pbs.twimg.com/media/DsW-fHxWkAAQncP.jpg" TargetMode="External"/><Relationship Id="rId750" Type="http://schemas.openxmlformats.org/officeDocument/2006/relationships/hyperlink" Target="https://generaldavila.com/2018/11/17/de-modo-que-ha-estallado-un-motin-no-majestad-lo-que-ha-estallado-es-un-revolucion-general-de-division-rafael-davila-alvarez-r/" TargetMode="External"/><Relationship Id="rId848" Type="http://schemas.openxmlformats.org/officeDocument/2006/relationships/hyperlink" Target="https://pbs.twimg.com/media/DsPU9rAWwAA-wwz.jpg" TargetMode="External"/><Relationship Id="rId1033" Type="http://schemas.openxmlformats.org/officeDocument/2006/relationships/hyperlink" Target="https://youtu.be/QTKWHWsZWNU" TargetMode="External"/><Relationship Id="rId1478" Type="http://schemas.openxmlformats.org/officeDocument/2006/relationships/hyperlink" Target="https://pbs.twimg.com/media/DsC7uBBWkAAnpNe.jpg" TargetMode="External"/><Relationship Id="rId1685" Type="http://schemas.openxmlformats.org/officeDocument/2006/relationships/hyperlink" Target="http://www.asivaespana.com/" TargetMode="External"/><Relationship Id="rId1892" Type="http://schemas.openxmlformats.org/officeDocument/2006/relationships/hyperlink" Target="http://www.juanantoniomorales.com/" TargetMode="External"/><Relationship Id="rId1906" Type="http://schemas.openxmlformats.org/officeDocument/2006/relationships/hyperlink" Target="http://www.bitmomentum.com/" TargetMode="External"/><Relationship Id="rId487" Type="http://schemas.openxmlformats.org/officeDocument/2006/relationships/hyperlink" Target="http://pic.twitter.com/MPvTPmQVOf" TargetMode="External"/><Relationship Id="rId610" Type="http://schemas.openxmlformats.org/officeDocument/2006/relationships/hyperlink" Target="https://twitter.com/vox_es/status/1064512187543273472" TargetMode="External"/><Relationship Id="rId694" Type="http://schemas.openxmlformats.org/officeDocument/2006/relationships/hyperlink" Target="http://pic.twitter.com/dXp0rlX6m2" TargetMode="External"/><Relationship Id="rId708" Type="http://schemas.openxmlformats.org/officeDocument/2006/relationships/hyperlink" Target="https://pbs.twimg.com/media/DsUMByXWsAItlxB.jpg" TargetMode="External"/><Relationship Id="rId915" Type="http://schemas.openxmlformats.org/officeDocument/2006/relationships/hyperlink" Target="http://www.letralibre.es/" TargetMode="External"/><Relationship Id="rId1240" Type="http://schemas.openxmlformats.org/officeDocument/2006/relationships/hyperlink" Target="http://page.is/capitacanavego" TargetMode="External"/><Relationship Id="rId1338" Type="http://schemas.openxmlformats.org/officeDocument/2006/relationships/hyperlink" Target="https://www.periodistadigital.com/periodismo/tv/2018/11/15/abascal-estalla-y-emite-un-demoledor-video-contra-ferreras-y-la-manipulacion-de-lasexta.shtml" TargetMode="External"/><Relationship Id="rId1545" Type="http://schemas.openxmlformats.org/officeDocument/2006/relationships/hyperlink" Target="http://jotaqpov-cp506.wordpresstemporal.com/jotapov.com/2018/11/14/santiago-abascal-de-vox-miente-de-forma-flagrante-al-negar-las-palabras-del-video-viral-de-ortega-smith-se-fusilaba-con-amor/" TargetMode="External"/><Relationship Id="rId2070" Type="http://schemas.openxmlformats.org/officeDocument/2006/relationships/hyperlink" Target="https://www.esdiario.com/222760053/La-firme-respuesta-de-Abascal-cuando-le-preguntan-en-Trece--si-Vox-es-populista.html" TargetMode="External"/><Relationship Id="rId347" Type="http://schemas.openxmlformats.org/officeDocument/2006/relationships/hyperlink" Target="https://twitter.com/Alicia63502264/status/1064914832351248384" TargetMode="External"/><Relationship Id="rId999" Type="http://schemas.openxmlformats.org/officeDocument/2006/relationships/hyperlink" Target="https://twitter.com/carmentorrres/status/1063520663548436485" TargetMode="External"/><Relationship Id="rId1100" Type="http://schemas.openxmlformats.org/officeDocument/2006/relationships/hyperlink" Target="http://www.despachocalero.com/" TargetMode="External"/><Relationship Id="rId1184" Type="http://schemas.openxmlformats.org/officeDocument/2006/relationships/hyperlink" Target="https://okdiario.com/investigacion/2018/11/16/denuncian-ministros-borrell-delgado-que-cni-catalan-cobraba-mordidas-del-4-3357154" TargetMode="External"/><Relationship Id="rId1405" Type="http://schemas.openxmlformats.org/officeDocument/2006/relationships/hyperlink" Target="http://es.favstar.fm/users/CharlesBocazas" TargetMode="External"/><Relationship Id="rId1752" Type="http://schemas.openxmlformats.org/officeDocument/2006/relationships/hyperlink" Target="http://pic.twitter.com/RaZ2EBtBTo" TargetMode="External"/><Relationship Id="rId2028" Type="http://schemas.openxmlformats.org/officeDocument/2006/relationships/hyperlink" Target="https://www.diariosur.es/elecciones/andaluzas/santiago-abascal-protagonizara-20181113124117-nt.html" TargetMode="External"/><Relationship Id="rId44" Type="http://schemas.openxmlformats.org/officeDocument/2006/relationships/hyperlink" Target="https://twitter.com/trendinaliaES/timelines/1065849541994340352" TargetMode="External"/><Relationship Id="rId554" Type="http://schemas.openxmlformats.org/officeDocument/2006/relationships/hyperlink" Target="https://pbs.twimg.com/media/DsZFoK9WsAIeJ83.jpg" TargetMode="External"/><Relationship Id="rId761" Type="http://schemas.openxmlformats.org/officeDocument/2006/relationships/hyperlink" Target="https://twitter.com/CPU_Police/status/1063857874697404416" TargetMode="External"/><Relationship Id="rId859" Type="http://schemas.openxmlformats.org/officeDocument/2006/relationships/hyperlink" Target="https://youtu.be/K9rbJLdQUuI" TargetMode="External"/><Relationship Id="rId1391" Type="http://schemas.openxmlformats.org/officeDocument/2006/relationships/hyperlink" Target="http://pic.twitter.com/d0BuXsVHYm" TargetMode="External"/><Relationship Id="rId1489" Type="http://schemas.openxmlformats.org/officeDocument/2006/relationships/hyperlink" Target="https://paisajesdelagua.wordpress.com/" TargetMode="External"/><Relationship Id="rId1612" Type="http://schemas.openxmlformats.org/officeDocument/2006/relationships/hyperlink" Target="http://pic.twitter.com/4yytrnb5Dw" TargetMode="External"/><Relationship Id="rId1696" Type="http://schemas.openxmlformats.org/officeDocument/2006/relationships/hyperlink" Target="http://www.bitmomentum.com/" TargetMode="External"/><Relationship Id="rId1917" Type="http://schemas.openxmlformats.org/officeDocument/2006/relationships/hyperlink" Target="http://www.facebook.com/sacrebeats" TargetMode="External"/><Relationship Id="rId193" Type="http://schemas.openxmlformats.org/officeDocument/2006/relationships/hyperlink" Target="http://www.bitmomentum.com/" TargetMode="External"/><Relationship Id="rId207" Type="http://schemas.openxmlformats.org/officeDocument/2006/relationships/hyperlink" Target="https://pbs.twimg.com/media/Dsju44eXcAAuFGZ.jpg" TargetMode="External"/><Relationship Id="rId414" Type="http://schemas.openxmlformats.org/officeDocument/2006/relationships/hyperlink" Target="http://pic.twitter.com/C7yAPWFRg1" TargetMode="External"/><Relationship Id="rId498" Type="http://schemas.openxmlformats.org/officeDocument/2006/relationships/hyperlink" Target="https://youtu.be/RaSIX4-RPAI" TargetMode="External"/><Relationship Id="rId621" Type="http://schemas.openxmlformats.org/officeDocument/2006/relationships/hyperlink" Target="https://twitter.com/CarrascoAntonia/status/1064442222676979712" TargetMode="External"/><Relationship Id="rId1044" Type="http://schemas.openxmlformats.org/officeDocument/2006/relationships/hyperlink" Target="http://pic.twitter.com/Sboe5mrIPD" TargetMode="External"/><Relationship Id="rId1251" Type="http://schemas.openxmlformats.org/officeDocument/2006/relationships/hyperlink" Target="http://www.periodistadigital.com/periodismo/tv/2018/11/15/abascal-estalla-y-emite-un-demoledor-video-contra-ferreras-y-la-manipulacion-de-lasexta.shtml" TargetMode="External"/><Relationship Id="rId1349" Type="http://schemas.openxmlformats.org/officeDocument/2006/relationships/hyperlink" Target="http://pic.twitter.com/9l5DmVU4El" TargetMode="External"/><Relationship Id="rId260" Type="http://schemas.openxmlformats.org/officeDocument/2006/relationships/hyperlink" Target="https://pbs.twimg.com/media/Dsirx1-XoAApFTJ.jpg" TargetMode="External"/><Relationship Id="rId719" Type="http://schemas.openxmlformats.org/officeDocument/2006/relationships/hyperlink" Target="https://twitter.com/Santi_ABASCAL/status/1064225700222246912" TargetMode="External"/><Relationship Id="rId926" Type="http://schemas.openxmlformats.org/officeDocument/2006/relationships/hyperlink" Target="http://pic.twitter.com/FF8ZndZCNf" TargetMode="External"/><Relationship Id="rId1111" Type="http://schemas.openxmlformats.org/officeDocument/2006/relationships/hyperlink" Target="https://pbs.twimg.com/media/DsDEfieW4AA66Fx.jpg" TargetMode="External"/><Relationship Id="rId1556" Type="http://schemas.openxmlformats.org/officeDocument/2006/relationships/hyperlink" Target="https://pbs.twimg.com/media/DsBmwuqX4AE2nVS.jpg" TargetMode="External"/><Relationship Id="rId1763" Type="http://schemas.openxmlformats.org/officeDocument/2006/relationships/hyperlink" Target="http://www.bitmomentum.com/" TargetMode="External"/><Relationship Id="rId1970" Type="http://schemas.openxmlformats.org/officeDocument/2006/relationships/hyperlink" Target="http://pic.twitter.com/B8ZeIhIpnJ" TargetMode="External"/><Relationship Id="rId55" Type="http://schemas.openxmlformats.org/officeDocument/2006/relationships/hyperlink" Target="https://twitter.com/gallifantes/status/1065572234490757125" TargetMode="External"/><Relationship Id="rId120" Type="http://schemas.openxmlformats.org/officeDocument/2006/relationships/hyperlink" Target="http://www.bitmomentum.com/" TargetMode="External"/><Relationship Id="rId358" Type="http://schemas.openxmlformats.org/officeDocument/2006/relationships/hyperlink" Target="https://twitter.com/carmencalvo_/status/1064437830687047680" TargetMode="External"/><Relationship Id="rId565" Type="http://schemas.openxmlformats.org/officeDocument/2006/relationships/hyperlink" Target="http://pic.twitter.com/8kZIWZeQL7" TargetMode="External"/><Relationship Id="rId772" Type="http://schemas.openxmlformats.org/officeDocument/2006/relationships/hyperlink" Target="https://twitter.com/VictorGonz54/status/1064165789505388545" TargetMode="External"/><Relationship Id="rId1195" Type="http://schemas.openxmlformats.org/officeDocument/2006/relationships/hyperlink" Target="https://www.elespanol.com/espana/politica/20181116/reacciono-ortega-lara-canticos-vuelve-fe-serenidad/353466157_0.html" TargetMode="External"/><Relationship Id="rId1209" Type="http://schemas.openxmlformats.org/officeDocument/2006/relationships/hyperlink" Target="https://www.elmundo.es/internacional/2018/11/16/5beddc8946163f869b8b4587.html" TargetMode="External"/><Relationship Id="rId1416" Type="http://schemas.openxmlformats.org/officeDocument/2006/relationships/hyperlink" Target="http://pic.twitter.com/1hKMHlGbpI" TargetMode="External"/><Relationship Id="rId1623" Type="http://schemas.openxmlformats.org/officeDocument/2006/relationships/hyperlink" Target="http://instagram.com/mrcorefusion" TargetMode="External"/><Relationship Id="rId1830" Type="http://schemas.openxmlformats.org/officeDocument/2006/relationships/hyperlink" Target="https://pbs.twimg.com/media/Dr9TOV8WwAATdHT.jpg" TargetMode="External"/><Relationship Id="rId2039" Type="http://schemas.openxmlformats.org/officeDocument/2006/relationships/hyperlink" Target="https://pbs.twimg.com/media/Dr4-Z-DWkAEZ0tr.jpg" TargetMode="External"/><Relationship Id="rId218" Type="http://schemas.openxmlformats.org/officeDocument/2006/relationships/hyperlink" Target="https://pbs.twimg.com/media/DsjS0kBXgAA2L7m.jpg" TargetMode="External"/><Relationship Id="rId425" Type="http://schemas.openxmlformats.org/officeDocument/2006/relationships/hyperlink" Target="https://pbs.twimg.com/media/Dsd7bBFW0AAGF48.jpg" TargetMode="External"/><Relationship Id="rId632" Type="http://schemas.openxmlformats.org/officeDocument/2006/relationships/hyperlink" Target="http://pic.twitter.com/EJKDZPZsRD" TargetMode="External"/><Relationship Id="rId1055" Type="http://schemas.openxmlformats.org/officeDocument/2006/relationships/hyperlink" Target="https://twitter.com/carmentorrres/status/1063520663548436485" TargetMode="External"/><Relationship Id="rId1262" Type="http://schemas.openxmlformats.org/officeDocument/2006/relationships/hyperlink" Target="http://pic.twitter.com/1hKMHlGbpI" TargetMode="External"/><Relationship Id="rId1928" Type="http://schemas.openxmlformats.org/officeDocument/2006/relationships/hyperlink" Target="https://www.youtube.com/watch?time_continue=49&amp;v=IlQ3hItZwSk" TargetMode="External"/><Relationship Id="rId271" Type="http://schemas.openxmlformats.org/officeDocument/2006/relationships/hyperlink" Target="http://www.voxespana.es/" TargetMode="External"/><Relationship Id="rId937" Type="http://schemas.openxmlformats.org/officeDocument/2006/relationships/hyperlink" Target="https://twitter.com/vox_es/status/1063756312025145344" TargetMode="External"/><Relationship Id="rId1122" Type="http://schemas.openxmlformats.org/officeDocument/2006/relationships/hyperlink" Target="https://twitter.com/Ortega_Smith/status/1063426868353863680" TargetMode="External"/><Relationship Id="rId1567" Type="http://schemas.openxmlformats.org/officeDocument/2006/relationships/hyperlink" Target="http://www.bitmomentum.com/" TargetMode="External"/><Relationship Id="rId1774" Type="http://schemas.openxmlformats.org/officeDocument/2006/relationships/hyperlink" Target="https://twitter.com/meritxell_batet/status/1062651338079690752" TargetMode="External"/><Relationship Id="rId1981" Type="http://schemas.openxmlformats.org/officeDocument/2006/relationships/hyperlink" Target="http://instagram.com/fdavaloso" TargetMode="External"/><Relationship Id="rId66" Type="http://schemas.openxmlformats.org/officeDocument/2006/relationships/hyperlink" Target="https://pbs.twimg.com/media/Dsj3DfXWoAAjqOk.jpg" TargetMode="External"/><Relationship Id="rId131" Type="http://schemas.openxmlformats.org/officeDocument/2006/relationships/hyperlink" Target="http://www.aloeforever.info/" TargetMode="External"/><Relationship Id="rId369" Type="http://schemas.openxmlformats.org/officeDocument/2006/relationships/hyperlink" Target="https://twitter.com/clubdeviernes/status/1064610639082151936" TargetMode="External"/><Relationship Id="rId576" Type="http://schemas.openxmlformats.org/officeDocument/2006/relationships/hyperlink" Target="http://pic.twitter.com/ZuIgiu7a6r" TargetMode="External"/><Relationship Id="rId783" Type="http://schemas.openxmlformats.org/officeDocument/2006/relationships/hyperlink" Target="https://twitter.com/santi_abascal/status/1063066152648228866" TargetMode="External"/><Relationship Id="rId990" Type="http://schemas.openxmlformats.org/officeDocument/2006/relationships/hyperlink" Target="https://pbs.twimg.com/media/DsMoPU9WsAAzU45.jpg" TargetMode="External"/><Relationship Id="rId1427" Type="http://schemas.openxmlformats.org/officeDocument/2006/relationships/hyperlink" Target="https://pbs.twimg.com/media/DsDgIMTWkAAxAcn.jpg" TargetMode="External"/><Relationship Id="rId1634" Type="http://schemas.openxmlformats.org/officeDocument/2006/relationships/hyperlink" Target="http://www.elcorreodemadrid.com/" TargetMode="External"/><Relationship Id="rId1841" Type="http://schemas.openxmlformats.org/officeDocument/2006/relationships/hyperlink" Target="https://www.cope.es/n/291904" TargetMode="External"/><Relationship Id="rId229" Type="http://schemas.openxmlformats.org/officeDocument/2006/relationships/hyperlink" Target="http://www.opyno.org/" TargetMode="External"/><Relationship Id="rId436" Type="http://schemas.openxmlformats.org/officeDocument/2006/relationships/hyperlink" Target="http://www.bitmomentum.com/" TargetMode="External"/><Relationship Id="rId643" Type="http://schemas.openxmlformats.org/officeDocument/2006/relationships/hyperlink" Target="https://pbs.twimg.com/media/DsXOjbqXQAImZgv.jpg" TargetMode="External"/><Relationship Id="rId1066" Type="http://schemas.openxmlformats.org/officeDocument/2006/relationships/hyperlink" Target="https://www.libertaddigital.com/opinion/emilio-campmany/traicion-en-gibraltar-86495/" TargetMode="External"/><Relationship Id="rId1273" Type="http://schemas.openxmlformats.org/officeDocument/2006/relationships/hyperlink" Target="https://twitter.com/MarcoChiazza/status/1062839810694545409" TargetMode="External"/><Relationship Id="rId1480" Type="http://schemas.openxmlformats.org/officeDocument/2006/relationships/hyperlink" Target="https://twitter.com/bitMomentum/status/1062903262272217088" TargetMode="External"/><Relationship Id="rId1939" Type="http://schemas.openxmlformats.org/officeDocument/2006/relationships/hyperlink" Target="https://youtu.be/uc7nbZ5FRso" TargetMode="External"/><Relationship Id="rId850" Type="http://schemas.openxmlformats.org/officeDocument/2006/relationships/hyperlink" Target="https://twitter.com/vox_es/status/1063756312025145344" TargetMode="External"/><Relationship Id="rId948" Type="http://schemas.openxmlformats.org/officeDocument/2006/relationships/hyperlink" Target="http://pic.twitter.com/BjFTk3Yt90" TargetMode="External"/><Relationship Id="rId1133" Type="http://schemas.openxmlformats.org/officeDocument/2006/relationships/hyperlink" Target="https://pbs.twimg.com/media/DsIH7PNW0AA6-en.jpg" TargetMode="External"/><Relationship Id="rId1578" Type="http://schemas.openxmlformats.org/officeDocument/2006/relationships/hyperlink" Target="https://twitter.com/alonso_dm/status/1062799262323482624" TargetMode="External"/><Relationship Id="rId1701" Type="http://schemas.openxmlformats.org/officeDocument/2006/relationships/hyperlink" Target="https://twitter.com/CasoAislado_Es/status/1062766747332288512" TargetMode="External"/><Relationship Id="rId1785" Type="http://schemas.openxmlformats.org/officeDocument/2006/relationships/hyperlink" Target="https://twitter.com/Caribdis777/status/1062705930314248192" TargetMode="External"/><Relationship Id="rId1992" Type="http://schemas.openxmlformats.org/officeDocument/2006/relationships/hyperlink" Target="http://www.bitmomentum.com/" TargetMode="External"/><Relationship Id="rId77" Type="http://schemas.openxmlformats.org/officeDocument/2006/relationships/hyperlink" Target="http://www.instagram.com/naireh" TargetMode="External"/><Relationship Id="rId282" Type="http://schemas.openxmlformats.org/officeDocument/2006/relationships/hyperlink" Target="http://confesorgo.com/" TargetMode="External"/><Relationship Id="rId503" Type="http://schemas.openxmlformats.org/officeDocument/2006/relationships/hyperlink" Target="https://curiouscat.me/weask_" TargetMode="External"/><Relationship Id="rId587" Type="http://schemas.openxmlformats.org/officeDocument/2006/relationships/hyperlink" Target="https://twitter.com/Santi_ABASCAL/status/1064225700222246912" TargetMode="External"/><Relationship Id="rId710" Type="http://schemas.openxmlformats.org/officeDocument/2006/relationships/hyperlink" Target="https://pbs.twimg.com/media/DsULy-eW0AEja24.jpg" TargetMode="External"/><Relationship Id="rId808" Type="http://schemas.openxmlformats.org/officeDocument/2006/relationships/hyperlink" Target="https://pbs.twimg.com/media/DsR5_BgXoAAyzeX.jpg" TargetMode="External"/><Relationship Id="rId1340" Type="http://schemas.openxmlformats.org/officeDocument/2006/relationships/hyperlink" Target="http://www.fundacionlibre.org.ar/" TargetMode="External"/><Relationship Id="rId1438" Type="http://schemas.openxmlformats.org/officeDocument/2006/relationships/hyperlink" Target="http://www.bitmomentum.com/" TargetMode="External"/><Relationship Id="rId1645" Type="http://schemas.openxmlformats.org/officeDocument/2006/relationships/hyperlink" Target="https://pbs.twimg.com/media/Dr_KUpsXcAAUwyx.jpg" TargetMode="External"/><Relationship Id="rId8" Type="http://schemas.openxmlformats.org/officeDocument/2006/relationships/hyperlink" Target="https://pbs.twimg.com/media/DsscXgWXgAAF04M.jpg" TargetMode="External"/><Relationship Id="rId142" Type="http://schemas.openxmlformats.org/officeDocument/2006/relationships/hyperlink" Target="https://pbs.twimg.com/media/DsmZvcAXcAEA09B.jpg" TargetMode="External"/><Relationship Id="rId447" Type="http://schemas.openxmlformats.org/officeDocument/2006/relationships/hyperlink" Target="https://pbs.twimg.com/media/DsZrjtVXcAMO-Mm.jpg" TargetMode="External"/><Relationship Id="rId794" Type="http://schemas.openxmlformats.org/officeDocument/2006/relationships/hyperlink" Target="http://www.outono.net/elentir/2018/11/18/santiago-abascal-defiende-la-libertad-para-comer-jamon-y-asi-lo-manipulan-algunos/" TargetMode="External"/><Relationship Id="rId1077" Type="http://schemas.openxmlformats.org/officeDocument/2006/relationships/hyperlink" Target="https://pbs.twimg.com/media/DsJdmhgWoAIP2Va.jpg" TargetMode="External"/><Relationship Id="rId1200" Type="http://schemas.openxmlformats.org/officeDocument/2006/relationships/hyperlink" Target="https://www.facebook.com/Dando-un-Mazazo-961983367274605/" TargetMode="External"/><Relationship Id="rId1852" Type="http://schemas.openxmlformats.org/officeDocument/2006/relationships/hyperlink" Target="https://youtu.be/RaSIX4-RPAI" TargetMode="External"/><Relationship Id="rId2030" Type="http://schemas.openxmlformats.org/officeDocument/2006/relationships/hyperlink" Target="http://www.voxespana.es/guadalajara" TargetMode="External"/><Relationship Id="rId654" Type="http://schemas.openxmlformats.org/officeDocument/2006/relationships/hyperlink" Target="http://edp.cat/" TargetMode="External"/><Relationship Id="rId861" Type="http://schemas.openxmlformats.org/officeDocument/2006/relationships/hyperlink" Target="http://pic.twitter.com/fFsQjV8yzu" TargetMode="External"/><Relationship Id="rId959" Type="http://schemas.openxmlformats.org/officeDocument/2006/relationships/hyperlink" Target="https://pbs.twimg.com/media/DsNA0UGXQAA_u5v.jpg" TargetMode="External"/><Relationship Id="rId1284" Type="http://schemas.openxmlformats.org/officeDocument/2006/relationships/hyperlink" Target="https://www.periodistadigital.com/periodismo/tv/2018/11/15/abascal-estalla-y-emite-un-demoledor-video-contra-ferreras-y-la-manipulacion-de-lasexta.shtml" TargetMode="External"/><Relationship Id="rId1491" Type="http://schemas.openxmlformats.org/officeDocument/2006/relationships/hyperlink" Target="https://pbs.twimg.com/media/Dr_nJU1XcAA3M81.jpg" TargetMode="External"/><Relationship Id="rId1505" Type="http://schemas.openxmlformats.org/officeDocument/2006/relationships/hyperlink" Target="https://pbs.twimg.com/media/DsClCg5XQAALypp.jpg" TargetMode="External"/><Relationship Id="rId1589" Type="http://schemas.openxmlformats.org/officeDocument/2006/relationships/hyperlink" Target="http://www.bitmomentum.com/" TargetMode="External"/><Relationship Id="rId1712" Type="http://schemas.openxmlformats.org/officeDocument/2006/relationships/hyperlink" Target="http://www.eldiario.es/murcia/" TargetMode="External"/><Relationship Id="rId293" Type="http://schemas.openxmlformats.org/officeDocument/2006/relationships/hyperlink" Target="https://pbs.twimg.com/media/DsiC8coWwAABeHL.jpg" TargetMode="External"/><Relationship Id="rId307" Type="http://schemas.openxmlformats.org/officeDocument/2006/relationships/hyperlink" Target="http://pic.twitter.com/2Sm6lIan8C" TargetMode="External"/><Relationship Id="rId514" Type="http://schemas.openxmlformats.org/officeDocument/2006/relationships/hyperlink" Target="https://pbs.twimg.com/media/DsZrjtVXcAMO-Mm.jpg" TargetMode="External"/><Relationship Id="rId721" Type="http://schemas.openxmlformats.org/officeDocument/2006/relationships/hyperlink" Target="https://www.elindependiente.com/politica/2018/11/16/unos-350-jovenes-participan-en-un-encuentro-abierto-con-preguntas-al-lider-de-vox-santiago-abascal-en-un-acto-en-sevilla/?utm_source=share_buttons&amp;utm_medium=twitter&amp;utm_campaign=social_share2" TargetMode="External"/><Relationship Id="rId1144" Type="http://schemas.openxmlformats.org/officeDocument/2006/relationships/hyperlink" Target="https://www.elespanol.com/espana/politica/20181116/reacciono-ortega-lara-canticos-vuelve-fe-serenidad/353466157_0.html" TargetMode="External"/><Relationship Id="rId1351" Type="http://schemas.openxmlformats.org/officeDocument/2006/relationships/hyperlink" Target="http://pic.twitter.com/KQCkNUISQ4" TargetMode="External"/><Relationship Id="rId1449" Type="http://schemas.openxmlformats.org/officeDocument/2006/relationships/hyperlink" Target="https://casoaislado.com/vuelven-pillar-la-sexta-manipulando-atacar-vox-abascal-les-responde-la-secta-manipula-suciamente/" TargetMode="External"/><Relationship Id="rId1796" Type="http://schemas.openxmlformats.org/officeDocument/2006/relationships/hyperlink" Target="https://pbs.twimg.com/media/Dr9vlqTW4AUatLY.jpg" TargetMode="External"/><Relationship Id="rId88" Type="http://schemas.openxmlformats.org/officeDocument/2006/relationships/hyperlink" Target="https://twitter.com/FSerranoCastro/status/1065218333832855553" TargetMode="External"/><Relationship Id="rId153" Type="http://schemas.openxmlformats.org/officeDocument/2006/relationships/hyperlink" Target="http://www.fac.es/" TargetMode="External"/><Relationship Id="rId360" Type="http://schemas.openxmlformats.org/officeDocument/2006/relationships/hyperlink" Target="http://www.bitmomentum.com/" TargetMode="External"/><Relationship Id="rId598" Type="http://schemas.openxmlformats.org/officeDocument/2006/relationships/hyperlink" Target="https://twitter.com/Santi_ABASCAL/status/1064274984414126080" TargetMode="External"/><Relationship Id="rId819" Type="http://schemas.openxmlformats.org/officeDocument/2006/relationships/hyperlink" Target="https://pbs.twimg.com/media/DsRtMuTW0AA4BvK.jpg" TargetMode="External"/><Relationship Id="rId1004" Type="http://schemas.openxmlformats.org/officeDocument/2006/relationships/hyperlink" Target="https://pbs.twimg.com/media/DsG6CN5W0AE3SkY.jpg" TargetMode="External"/><Relationship Id="rId1211" Type="http://schemas.openxmlformats.org/officeDocument/2006/relationships/hyperlink" Target="http://sirioandaluz.blogspot.com.es/" TargetMode="External"/><Relationship Id="rId1656" Type="http://schemas.openxmlformats.org/officeDocument/2006/relationships/hyperlink" Target="https://pbs.twimg.com/media/Dr_jUMYW4AAM9iS.jpg" TargetMode="External"/><Relationship Id="rId1863" Type="http://schemas.openxmlformats.org/officeDocument/2006/relationships/hyperlink" Target="http://www.elclubdelosviernes.org/" TargetMode="External"/><Relationship Id="rId2041" Type="http://schemas.openxmlformats.org/officeDocument/2006/relationships/hyperlink" Target="https://twitter.com/Santi_ABASCAL/status/1061719359880679431" TargetMode="External"/><Relationship Id="rId220" Type="http://schemas.openxmlformats.org/officeDocument/2006/relationships/hyperlink" Target="https://pbs.twimg.com/media/DsjouxOWwAE4pJ6.jpg" TargetMode="External"/><Relationship Id="rId458" Type="http://schemas.openxmlformats.org/officeDocument/2006/relationships/hyperlink" Target="https://www.voxespana.es/biblioteca/espana/2018m/gal_c2d72e181103013447.pdf" TargetMode="External"/><Relationship Id="rId665" Type="http://schemas.openxmlformats.org/officeDocument/2006/relationships/hyperlink" Target="https://twitter.com/trendinaliaES/timelines/1064400139152875520" TargetMode="External"/><Relationship Id="rId872" Type="http://schemas.openxmlformats.org/officeDocument/2006/relationships/hyperlink" Target="https://pbs.twimg.com/media/DsOfXBBW0AAXZ9W.jpg" TargetMode="External"/><Relationship Id="rId1088" Type="http://schemas.openxmlformats.org/officeDocument/2006/relationships/hyperlink" Target="https://pbs.twimg.com/media/DsJQtasWkAA-hE7.jpg" TargetMode="External"/><Relationship Id="rId1295" Type="http://schemas.openxmlformats.org/officeDocument/2006/relationships/hyperlink" Target="https://www.elindependiente.com/politica/2018/11/15/escrache-ortega-lara-acto-vox-murcia-acaba-dos-detenidos/" TargetMode="External"/><Relationship Id="rId1309" Type="http://schemas.openxmlformats.org/officeDocument/2006/relationships/hyperlink" Target="http://cukecito.blogspot.com/" TargetMode="External"/><Relationship Id="rId1516" Type="http://schemas.openxmlformats.org/officeDocument/2006/relationships/hyperlink" Target="http://pic.twitter.com/2PSim7hjCh" TargetMode="External"/><Relationship Id="rId1723" Type="http://schemas.openxmlformats.org/officeDocument/2006/relationships/hyperlink" Target="http://www.bitmomentum.com/" TargetMode="External"/><Relationship Id="rId1930" Type="http://schemas.openxmlformats.org/officeDocument/2006/relationships/hyperlink" Target="http://www.bitmomentum.com/" TargetMode="External"/><Relationship Id="rId15" Type="http://schemas.openxmlformats.org/officeDocument/2006/relationships/hyperlink" Target="https://twitter.com/bitmomentum/status/1065787014191157248" TargetMode="External"/><Relationship Id="rId318" Type="http://schemas.openxmlformats.org/officeDocument/2006/relationships/hyperlink" Target="https://okdiario.com/espana/2018/11/21/diputado-erc-escupe-ministro-borrell-ser-expulsado-rufian-del-hemiciclo-3374692" TargetMode="External"/><Relationship Id="rId525" Type="http://schemas.openxmlformats.org/officeDocument/2006/relationships/hyperlink" Target="http://malagah.info/bnjw01" TargetMode="External"/><Relationship Id="rId732" Type="http://schemas.openxmlformats.org/officeDocument/2006/relationships/hyperlink" Target="https://pbs.twimg.com/media/DsTjoDnWwAkgtrx.jpg" TargetMode="External"/><Relationship Id="rId1155" Type="http://schemas.openxmlformats.org/officeDocument/2006/relationships/hyperlink" Target="https://pbs.twimg.com/media/DsH4PAgXoAANsPC.jpg" TargetMode="External"/><Relationship Id="rId1362" Type="http://schemas.openxmlformats.org/officeDocument/2006/relationships/hyperlink" Target="http://ninguno.com/" TargetMode="External"/><Relationship Id="rId99" Type="http://schemas.openxmlformats.org/officeDocument/2006/relationships/hyperlink" Target="http://pic.twitter.com/rvBcXmAtCx" TargetMode="External"/><Relationship Id="rId164" Type="http://schemas.openxmlformats.org/officeDocument/2006/relationships/hyperlink" Target="http://www.bitmomentum.com/" TargetMode="External"/><Relationship Id="rId371" Type="http://schemas.openxmlformats.org/officeDocument/2006/relationships/hyperlink" Target="http://www.aloeforever.info/" TargetMode="External"/><Relationship Id="rId1015" Type="http://schemas.openxmlformats.org/officeDocument/2006/relationships/hyperlink" Target="http://www.bitmomentum.com/" TargetMode="External"/><Relationship Id="rId1222" Type="http://schemas.openxmlformats.org/officeDocument/2006/relationships/hyperlink" Target="https://twitter.com/Santi_ABASCAL/status/1063066152648228866" TargetMode="External"/><Relationship Id="rId1667" Type="http://schemas.openxmlformats.org/officeDocument/2006/relationships/hyperlink" Target="http://www.bitmomentum.com/" TargetMode="External"/><Relationship Id="rId1874" Type="http://schemas.openxmlformats.org/officeDocument/2006/relationships/hyperlink" Target="http://www.voxespana.es/" TargetMode="External"/><Relationship Id="rId2052" Type="http://schemas.openxmlformats.org/officeDocument/2006/relationships/hyperlink" Target="https://twitter.com/ElAguijon_/status/1062341594211336193" TargetMode="External"/><Relationship Id="rId469" Type="http://schemas.openxmlformats.org/officeDocument/2006/relationships/hyperlink" Target="http://pic.twitter.com/HXmqLHT8Jn" TargetMode="External"/><Relationship Id="rId676" Type="http://schemas.openxmlformats.org/officeDocument/2006/relationships/hyperlink" Target="https://pbs.twimg.com/media/DsUWx76X4AANRuH.jpg" TargetMode="External"/><Relationship Id="rId883" Type="http://schemas.openxmlformats.org/officeDocument/2006/relationships/hyperlink" Target="http://www.letralibre.es/" TargetMode="External"/><Relationship Id="rId1099" Type="http://schemas.openxmlformats.org/officeDocument/2006/relationships/hyperlink" Target="https://twitter.com/vicentegomez77/status/1063075356847063040" TargetMode="External"/><Relationship Id="rId1527" Type="http://schemas.openxmlformats.org/officeDocument/2006/relationships/hyperlink" Target="http://www.bitmomentum.com/" TargetMode="External"/><Relationship Id="rId1734" Type="http://schemas.openxmlformats.org/officeDocument/2006/relationships/hyperlink" Target="https://pbs.twimg.com/media/Dr-_VHIX0AAv6xU.jpg" TargetMode="External"/><Relationship Id="rId1941" Type="http://schemas.openxmlformats.org/officeDocument/2006/relationships/hyperlink" Target="https://youtu.be/CzPw1AMoHaM" TargetMode="External"/><Relationship Id="rId26" Type="http://schemas.openxmlformats.org/officeDocument/2006/relationships/hyperlink" Target="https://twitter.com/vox_guipuzcoa/status/1065714296510996480" TargetMode="External"/><Relationship Id="rId231" Type="http://schemas.openxmlformats.org/officeDocument/2006/relationships/hyperlink" Target="http://pic.twitter.com/QhFI5PnOjF" TargetMode="External"/><Relationship Id="rId329" Type="http://schemas.openxmlformats.org/officeDocument/2006/relationships/hyperlink" Target="http://trigork.github.io/" TargetMode="External"/><Relationship Id="rId536" Type="http://schemas.openxmlformats.org/officeDocument/2006/relationships/hyperlink" Target="http://www.huelvainformacion.es/" TargetMode="External"/><Relationship Id="rId1166" Type="http://schemas.openxmlformats.org/officeDocument/2006/relationships/hyperlink" Target="http://www.abc.es/play/television/" TargetMode="External"/><Relationship Id="rId1373" Type="http://schemas.openxmlformats.org/officeDocument/2006/relationships/hyperlink" Target="https://www.periodistadigital.com/periodismo/tv/2018/11/15/abascal-estalla-y-emite-un-demoledor-video-contra-ferreras-y-la-manipulacion-de-lasexta.shtml" TargetMode="External"/><Relationship Id="rId175" Type="http://schemas.openxmlformats.org/officeDocument/2006/relationships/hyperlink" Target="https://youtu.be/NUqQdGC4AlM" TargetMode="External"/><Relationship Id="rId743" Type="http://schemas.openxmlformats.org/officeDocument/2006/relationships/hyperlink" Target="http://www.andrescardenete.com/" TargetMode="External"/><Relationship Id="rId950" Type="http://schemas.openxmlformats.org/officeDocument/2006/relationships/hyperlink" Target="http://pic.twitter.com/djzSb2ocAR" TargetMode="External"/><Relationship Id="rId1026" Type="http://schemas.openxmlformats.org/officeDocument/2006/relationships/hyperlink" Target="https://youtu.be/iQRpxMZqFlQ" TargetMode="External"/><Relationship Id="rId1580" Type="http://schemas.openxmlformats.org/officeDocument/2006/relationships/hyperlink" Target="http://opinionesextremas.blogspot.com/" TargetMode="External"/><Relationship Id="rId1678" Type="http://schemas.openxmlformats.org/officeDocument/2006/relationships/hyperlink" Target="https://twitter.com/ser_murcia/status/1062766449436094466" TargetMode="External"/><Relationship Id="rId1801" Type="http://schemas.openxmlformats.org/officeDocument/2006/relationships/hyperlink" Target="https://youtu.be/RaSIX4-RPAI" TargetMode="External"/><Relationship Id="rId1885" Type="http://schemas.openxmlformats.org/officeDocument/2006/relationships/hyperlink" Target="http://www.bitmomentum.com/" TargetMode="External"/><Relationship Id="rId382" Type="http://schemas.openxmlformats.org/officeDocument/2006/relationships/hyperlink" Target="https://okdiario.com/espana/2018/11/20/sanchez-gasta-cerca-millon-euros-poner-punto-luz-calefaccion-moncloa-3372360/amp" TargetMode="External"/><Relationship Id="rId603" Type="http://schemas.openxmlformats.org/officeDocument/2006/relationships/hyperlink" Target="https://www.elindependiente.com/politica/2018/11/19/el-pp-a-hace-frente-a-vox-entendemos-que-quieras-votarle-pero-solo-ayuda-a-susana/?utm_source=share_buttons&amp;utm_medium=twitter&amp;utm_campaign=social_share2" TargetMode="External"/><Relationship Id="rId687" Type="http://schemas.openxmlformats.org/officeDocument/2006/relationships/hyperlink" Target="https://www.instagram.com/diegodnk21/" TargetMode="External"/><Relationship Id="rId810" Type="http://schemas.openxmlformats.org/officeDocument/2006/relationships/hyperlink" Target="https://twitter.com/elisabeni/status/1063874605226631169" TargetMode="External"/><Relationship Id="rId908" Type="http://schemas.openxmlformats.org/officeDocument/2006/relationships/hyperlink" Target="https://twitter.com/MediterraneoDGT/status/1063785519648305152" TargetMode="External"/><Relationship Id="rId1233" Type="http://schemas.openxmlformats.org/officeDocument/2006/relationships/hyperlink" Target="https://wp.me/p9bEmw-amh" TargetMode="External"/><Relationship Id="rId1440" Type="http://schemas.openxmlformats.org/officeDocument/2006/relationships/hyperlink" Target="http://www.voxespana.es/" TargetMode="External"/><Relationship Id="rId1538" Type="http://schemas.openxmlformats.org/officeDocument/2006/relationships/hyperlink" Target="https://www.laopiniondemurcia.es/comunidad/2018/11/15/provocaron-guerra-perdieron-80-anos/972234.html" TargetMode="External"/><Relationship Id="rId2063" Type="http://schemas.openxmlformats.org/officeDocument/2006/relationships/hyperlink" Target="http://www.voxespana.es/" TargetMode="External"/><Relationship Id="rId242" Type="http://schemas.openxmlformats.org/officeDocument/2006/relationships/hyperlink" Target="https://pbs.twimg.com/media/DsjQyzOWsAY-Crw.jpg" TargetMode="External"/><Relationship Id="rId894" Type="http://schemas.openxmlformats.org/officeDocument/2006/relationships/hyperlink" Target="https://youtu.be/nKuTX3MaDzg" TargetMode="External"/><Relationship Id="rId1177" Type="http://schemas.openxmlformats.org/officeDocument/2006/relationships/hyperlink" Target="http://www.voxespana.es/sevilla" TargetMode="External"/><Relationship Id="rId1300" Type="http://schemas.openxmlformats.org/officeDocument/2006/relationships/hyperlink" Target="http://www.bitmomentum.com/" TargetMode="External"/><Relationship Id="rId1745" Type="http://schemas.openxmlformats.org/officeDocument/2006/relationships/hyperlink" Target="http://www.bitmomentum.com/" TargetMode="External"/><Relationship Id="rId1952" Type="http://schemas.openxmlformats.org/officeDocument/2006/relationships/hyperlink" Target="https://twitter.com/ierrejon/status/1062057316164517891" TargetMode="External"/><Relationship Id="rId37" Type="http://schemas.openxmlformats.org/officeDocument/2006/relationships/hyperlink" Target="https://pbs.twimg.com/media/DsrGM2BWkAAJRi4.jpg" TargetMode="External"/><Relationship Id="rId102" Type="http://schemas.openxmlformats.org/officeDocument/2006/relationships/hyperlink" Target="http://youtu.be/vCzgGgIgofk?a" TargetMode="External"/><Relationship Id="rId547" Type="http://schemas.openxmlformats.org/officeDocument/2006/relationships/hyperlink" Target="http://www.flickr.com/photos/raistlinm/" TargetMode="External"/><Relationship Id="rId754" Type="http://schemas.openxmlformats.org/officeDocument/2006/relationships/hyperlink" Target="http://www.voxespana.es/cordoba" TargetMode="External"/><Relationship Id="rId961" Type="http://schemas.openxmlformats.org/officeDocument/2006/relationships/hyperlink" Target="https://casoaislado.com/podemos-mira-con-envidia-los-actos-de-vox-mas-de-2-000-personas-acuden-al-celebrado-en-malaga/" TargetMode="External"/><Relationship Id="rId1384" Type="http://schemas.openxmlformats.org/officeDocument/2006/relationships/hyperlink" Target="http://www.periodistadigital.com/" TargetMode="External"/><Relationship Id="rId1591" Type="http://schemas.openxmlformats.org/officeDocument/2006/relationships/hyperlink" Target="https://www.youtube.com/channel/UC17Ddm4yEithdXnEANDO1RQ" TargetMode="External"/><Relationship Id="rId1605" Type="http://schemas.openxmlformats.org/officeDocument/2006/relationships/hyperlink" Target="http://www.voxespana.es/" TargetMode="External"/><Relationship Id="rId1689" Type="http://schemas.openxmlformats.org/officeDocument/2006/relationships/hyperlink" Target="http://www.aloeforever.info/" TargetMode="External"/><Relationship Id="rId1812" Type="http://schemas.openxmlformats.org/officeDocument/2006/relationships/hyperlink" Target="https://pbs.twimg.com/media/Dr9ktMLXcAEFvan.jpg" TargetMode="External"/><Relationship Id="rId90" Type="http://schemas.openxmlformats.org/officeDocument/2006/relationships/hyperlink" Target="http://ca.wikipedia.org/wiki/Arnau_Mir_de_Tost" TargetMode="External"/><Relationship Id="rId186" Type="http://schemas.openxmlformats.org/officeDocument/2006/relationships/hyperlink" Target="http://www.bitmomentum.com/" TargetMode="External"/><Relationship Id="rId393" Type="http://schemas.openxmlformats.org/officeDocument/2006/relationships/hyperlink" Target="http://pic.twitter.com/F18eLKasbA" TargetMode="External"/><Relationship Id="rId407" Type="http://schemas.openxmlformats.org/officeDocument/2006/relationships/hyperlink" Target="http://www.bitmomentum.com/" TargetMode="External"/><Relationship Id="rId614" Type="http://schemas.openxmlformats.org/officeDocument/2006/relationships/hyperlink" Target="http://elmetropolitanodemadrid.blogspot.com/2018/11/echenique-asegura-que-los-patean.html" TargetMode="External"/><Relationship Id="rId821" Type="http://schemas.openxmlformats.org/officeDocument/2006/relationships/hyperlink" Target="http://pic.twitter.com/in00rSJnZQ" TargetMode="External"/><Relationship Id="rId1037" Type="http://schemas.openxmlformats.org/officeDocument/2006/relationships/hyperlink" Target="https://pbs.twimg.com/media/DsKFH6wWoAACJv_.jpg" TargetMode="External"/><Relationship Id="rId1244" Type="http://schemas.openxmlformats.org/officeDocument/2006/relationships/hyperlink" Target="https://pbs.twimg.com/media/DsGXrflXoAIhUdh.jpg" TargetMode="External"/><Relationship Id="rId1451" Type="http://schemas.openxmlformats.org/officeDocument/2006/relationships/hyperlink" Target="https://twitter.com/Santi_ABASCAL/status/1063069836908134402" TargetMode="External"/><Relationship Id="rId1896" Type="http://schemas.openxmlformats.org/officeDocument/2006/relationships/hyperlink" Target="http://www.bitmomentum.com/" TargetMode="External"/><Relationship Id="rId2074" Type="http://schemas.openxmlformats.org/officeDocument/2006/relationships/hyperlink" Target="https://www.elmundo.es/f5/comparte/2018/11/12/5be9beeb468aeb8e558b45b4.html" TargetMode="External"/><Relationship Id="rId253" Type="http://schemas.openxmlformats.org/officeDocument/2006/relationships/hyperlink" Target="https://pbs.twimg.com/media/Dsi-DzrWkAYBu2l.jpg" TargetMode="External"/><Relationship Id="rId460" Type="http://schemas.openxmlformats.org/officeDocument/2006/relationships/hyperlink" Target="https://www.instagram.com/carlizb/" TargetMode="External"/><Relationship Id="rId698" Type="http://schemas.openxmlformats.org/officeDocument/2006/relationships/hyperlink" Target="https://youtu.be/RaSIX4-RPAI" TargetMode="External"/><Relationship Id="rId919" Type="http://schemas.openxmlformats.org/officeDocument/2006/relationships/hyperlink" Target="http://albertosanzblanco.wordpress.com/" TargetMode="External"/><Relationship Id="rId1090" Type="http://schemas.openxmlformats.org/officeDocument/2006/relationships/hyperlink" Target="http://disidencia.info/" TargetMode="External"/><Relationship Id="rId1104" Type="http://schemas.openxmlformats.org/officeDocument/2006/relationships/hyperlink" Target="http://www.voxespana.es/" TargetMode="External"/><Relationship Id="rId1311" Type="http://schemas.openxmlformats.org/officeDocument/2006/relationships/hyperlink" Target="https://pbs.twimg.com/media/DsEdrdZXgAAmvX7.jpg" TargetMode="External"/><Relationship Id="rId1549" Type="http://schemas.openxmlformats.org/officeDocument/2006/relationships/hyperlink" Target="https://www.diaribalear.es/" TargetMode="External"/><Relationship Id="rId1756" Type="http://schemas.openxmlformats.org/officeDocument/2006/relationships/hyperlink" Target="https://pbs.twimg.com/media/Dr-wwO_XQAEDCXw.jpg" TargetMode="External"/><Relationship Id="rId1963" Type="http://schemas.openxmlformats.org/officeDocument/2006/relationships/hyperlink" Target="https://youtu.be/uc7nbZ5FRso" TargetMode="External"/><Relationship Id="rId48" Type="http://schemas.openxmlformats.org/officeDocument/2006/relationships/hyperlink" Target="http://www.elentir.info/" TargetMode="External"/><Relationship Id="rId113" Type="http://schemas.openxmlformats.org/officeDocument/2006/relationships/hyperlink" Target="https://www.facebook.com/josealberto.rodriguezarroyo.9" TargetMode="External"/><Relationship Id="rId320" Type="http://schemas.openxmlformats.org/officeDocument/2006/relationships/hyperlink" Target="http://laboratorio-mabuse.blogspot.com/" TargetMode="External"/><Relationship Id="rId558" Type="http://schemas.openxmlformats.org/officeDocument/2006/relationships/hyperlink" Target="https://twitter.com/NBCNews/status/1064533485883441154" TargetMode="External"/><Relationship Id="rId765" Type="http://schemas.openxmlformats.org/officeDocument/2006/relationships/hyperlink" Target="https://pbs.twimg.com/media/DsS9GHAWsAEloWg.jpg" TargetMode="External"/><Relationship Id="rId972" Type="http://schemas.openxmlformats.org/officeDocument/2006/relationships/hyperlink" Target="http://pic.twitter.com/LDqsef7lF8" TargetMode="External"/><Relationship Id="rId1188" Type="http://schemas.openxmlformats.org/officeDocument/2006/relationships/hyperlink" Target="https://www.esdiario.com/23853720/Felipe-prefiere-al-Rey-y-hasta-a-Franco-que-la-Republica-que-exige-Podemos.html" TargetMode="External"/><Relationship Id="rId1395" Type="http://schemas.openxmlformats.org/officeDocument/2006/relationships/hyperlink" Target="http://www.periodistadigital.com/periodismo/tv/2018/11/15/abascal-estalla-y-emite-un-demoledor-video-contra-ferreras-y-la-manipulacion-de-lasexta.shtml" TargetMode="External"/><Relationship Id="rId1409" Type="http://schemas.openxmlformats.org/officeDocument/2006/relationships/hyperlink" Target="http://pic.twitter.com/pGkn92jfqv" TargetMode="External"/><Relationship Id="rId1616" Type="http://schemas.openxmlformats.org/officeDocument/2006/relationships/hyperlink" Target="https://twitter.com/eldiariomurcia/status/1062789684991012864" TargetMode="External"/><Relationship Id="rId1823" Type="http://schemas.openxmlformats.org/officeDocument/2006/relationships/hyperlink" Target="https://casoaislado.com/miles-espanoles-ponen-parir-susanna-griso-tras-atacar-vox-acoge-los-magrebies-casa/" TargetMode="External"/><Relationship Id="rId2001" Type="http://schemas.openxmlformats.org/officeDocument/2006/relationships/hyperlink" Target="https://youtu.be/D85td0caXyE" TargetMode="External"/><Relationship Id="rId197" Type="http://schemas.openxmlformats.org/officeDocument/2006/relationships/hyperlink" Target="https://youtu.be/rWdg5ac4xjM" TargetMode="External"/><Relationship Id="rId418" Type="http://schemas.openxmlformats.org/officeDocument/2006/relationships/hyperlink" Target="https://www.esdiario.com/464800367/Cunde-el-panico-en-el-PSOE-Villarejo-hace-correr-la-voz-de-que-los-aniquilara.html" TargetMode="External"/><Relationship Id="rId625" Type="http://schemas.openxmlformats.org/officeDocument/2006/relationships/hyperlink" Target="https://twitter.com/Santi_ABASCAL/status/1064225700222246912" TargetMode="External"/><Relationship Id="rId832" Type="http://schemas.openxmlformats.org/officeDocument/2006/relationships/hyperlink" Target="https://twitter.com/trendinaliaES/timelines/1064037742886060032" TargetMode="External"/><Relationship Id="rId1048" Type="http://schemas.openxmlformats.org/officeDocument/2006/relationships/hyperlink" Target="http://pic.twitter.com/dNbUqA7mB2" TargetMode="External"/><Relationship Id="rId1255" Type="http://schemas.openxmlformats.org/officeDocument/2006/relationships/hyperlink" Target="https://twitter.com/Santi_ABASCAL/status/1063066152648228866" TargetMode="External"/><Relationship Id="rId1462" Type="http://schemas.openxmlformats.org/officeDocument/2006/relationships/hyperlink" Target="http://pic.twitter.com/d3XLAFX7tS" TargetMode="External"/><Relationship Id="rId264" Type="http://schemas.openxmlformats.org/officeDocument/2006/relationships/hyperlink" Target="https://youtu.be/nKuTX3MaDzg" TargetMode="External"/><Relationship Id="rId471" Type="http://schemas.openxmlformats.org/officeDocument/2006/relationships/hyperlink" Target="https://pbs.twimg.com/media/DsT3mbzW0AAX2d0.jpg" TargetMode="External"/><Relationship Id="rId1115" Type="http://schemas.openxmlformats.org/officeDocument/2006/relationships/hyperlink" Target="https://pbs.twimg.com/media/DsIk4yYXQAUxuKG.jpg" TargetMode="External"/><Relationship Id="rId1322" Type="http://schemas.openxmlformats.org/officeDocument/2006/relationships/hyperlink" Target="https://www.diaribalear.es/emilia-landaluce-deja-pequena-la-sede-de-societat-civil-balear-para-presentar-su-libro-no-somos-fachas-somos-espanoles/" TargetMode="External"/><Relationship Id="rId1767" Type="http://schemas.openxmlformats.org/officeDocument/2006/relationships/hyperlink" Target="https://pbs.twimg.com/media/DqtLamFW4AAtfj8.jpg" TargetMode="External"/><Relationship Id="rId1974" Type="http://schemas.openxmlformats.org/officeDocument/2006/relationships/hyperlink" Target="https://youtu.be/aLI2NnZ5x1Q" TargetMode="External"/><Relationship Id="rId59" Type="http://schemas.openxmlformats.org/officeDocument/2006/relationships/hyperlink" Target="https://pbs.twimg.com/media/DspHbgwXQAEQSa5.jpg" TargetMode="External"/><Relationship Id="rId124" Type="http://schemas.openxmlformats.org/officeDocument/2006/relationships/hyperlink" Target="https://youtu.be/RaSIX4-RPAI" TargetMode="External"/><Relationship Id="rId569" Type="http://schemas.openxmlformats.org/officeDocument/2006/relationships/hyperlink" Target="https://pbs.twimg.com/media/DsYhkpIWsAEw3xV.jpg" TargetMode="External"/><Relationship Id="rId776" Type="http://schemas.openxmlformats.org/officeDocument/2006/relationships/hyperlink" Target="https://curiouscat.me/IvanZDRK" TargetMode="External"/><Relationship Id="rId983" Type="http://schemas.openxmlformats.org/officeDocument/2006/relationships/hyperlink" Target="https://www.elindependiente.com/politica/2018/11/16/unos-350-jovenes-participan-en-un-encuentro-abierto-con-preguntas-al-lider-de-vox-santiago-abascal-en-un-acto-en-sevilla/?utm_source=share_buttons&amp;utm_medium=twitter&amp;utm_campaign=social_share2" TargetMode="External"/><Relationship Id="rId1199" Type="http://schemas.openxmlformats.org/officeDocument/2006/relationships/hyperlink" Target="http://www.bitmomentum.com/" TargetMode="External"/><Relationship Id="rId1627" Type="http://schemas.openxmlformats.org/officeDocument/2006/relationships/hyperlink" Target="https://twitter.com/VOX_Albacete/status/1062819077536837632" TargetMode="External"/><Relationship Id="rId1834" Type="http://schemas.openxmlformats.org/officeDocument/2006/relationships/hyperlink" Target="https://r4gregiondemurcia.blogspot.com/" TargetMode="External"/><Relationship Id="rId331" Type="http://schemas.openxmlformats.org/officeDocument/2006/relationships/hyperlink" Target="https://pbs.twimg.com/media/DsSlWvHWkAAW_Mi.jpg" TargetMode="External"/><Relationship Id="rId429" Type="http://schemas.openxmlformats.org/officeDocument/2006/relationships/hyperlink" Target="https://www.voxespana.es/lerida" TargetMode="External"/><Relationship Id="rId636" Type="http://schemas.openxmlformats.org/officeDocument/2006/relationships/hyperlink" Target="https://pbs.twimg.com/media/DsXTk5KXQAE_qQ6.jpg" TargetMode="External"/><Relationship Id="rId1059" Type="http://schemas.openxmlformats.org/officeDocument/2006/relationships/hyperlink" Target="https://pbs.twimg.com/media/DsJo66eXQAAtFf4.jpg" TargetMode="External"/><Relationship Id="rId1266" Type="http://schemas.openxmlformats.org/officeDocument/2006/relationships/hyperlink" Target="http://pic.twitter.com/hD7v0j4Mus" TargetMode="External"/><Relationship Id="rId1473" Type="http://schemas.openxmlformats.org/officeDocument/2006/relationships/hyperlink" Target="http://pic.twitter.com/412XgdgKk2" TargetMode="External"/><Relationship Id="rId2012" Type="http://schemas.openxmlformats.org/officeDocument/2006/relationships/hyperlink" Target="https://www.huffingtonpost.es/2018/11/12/asi-es-el-inenarrable-video-de-vox-en-andalucia-y-las-desternillantes-versiones-de-los-tuiteros_a_23587866/" TargetMode="External"/><Relationship Id="rId843" Type="http://schemas.openxmlformats.org/officeDocument/2006/relationships/hyperlink" Target="http://pic.twitter.com/GRhNjGjJB4" TargetMode="External"/><Relationship Id="rId1126" Type="http://schemas.openxmlformats.org/officeDocument/2006/relationships/hyperlink" Target="https://pbs.twimg.com/media/DsH4ZUrX4AIwovk.jpg" TargetMode="External"/><Relationship Id="rId1680" Type="http://schemas.openxmlformats.org/officeDocument/2006/relationships/hyperlink" Target="https://twitter.com/CasoAislado_Es/status/1062795374279176193" TargetMode="External"/><Relationship Id="rId1778" Type="http://schemas.openxmlformats.org/officeDocument/2006/relationships/hyperlink" Target="http://pic.twitter.com/BAVHSLoKAV" TargetMode="External"/><Relationship Id="rId1901" Type="http://schemas.openxmlformats.org/officeDocument/2006/relationships/hyperlink" Target="http://www.bitmomentum.com/" TargetMode="External"/><Relationship Id="rId1985" Type="http://schemas.openxmlformats.org/officeDocument/2006/relationships/hyperlink" Target="https://www.mediterraneodigital.com/espana/baleares/azra-dobojlic-dirigente-de-vox-y-colaboradora-de-mediterraneo-digital-amenazada-a-las-puertas-de-su-casa.html" TargetMode="External"/><Relationship Id="rId275" Type="http://schemas.openxmlformats.org/officeDocument/2006/relationships/hyperlink" Target="http://www.voxespana.es/" TargetMode="External"/><Relationship Id="rId482" Type="http://schemas.openxmlformats.org/officeDocument/2006/relationships/hyperlink" Target="http://pic.twitter.com/B4i53aOvzv" TargetMode="External"/><Relationship Id="rId703" Type="http://schemas.openxmlformats.org/officeDocument/2006/relationships/hyperlink" Target="https://twitter.com/jpjsalsan/status/1064267240315514883" TargetMode="External"/><Relationship Id="rId910" Type="http://schemas.openxmlformats.org/officeDocument/2006/relationships/hyperlink" Target="https://www.alertanacional.es/exclusiva-raul-macia-el-preso-politico-espanol-en-cataluna-concede-una-entrevista-a-alerta-nacional/" TargetMode="External"/><Relationship Id="rId1333" Type="http://schemas.openxmlformats.org/officeDocument/2006/relationships/hyperlink" Target="http://pic.twitter.com/U4VNtviqdA" TargetMode="External"/><Relationship Id="rId1540" Type="http://schemas.openxmlformats.org/officeDocument/2006/relationships/hyperlink" Target="https://www.diaribalear.es/se-acercan-fechas-electorales-fechas-de-destapar-las-mentiras-de-la-propaganda-de-la-ultraizquierda-radical/" TargetMode="External"/><Relationship Id="rId1638" Type="http://schemas.openxmlformats.org/officeDocument/2006/relationships/hyperlink" Target="http://pic.twitter.com/eNxczwgI9b" TargetMode="External"/><Relationship Id="rId135" Type="http://schemas.openxmlformats.org/officeDocument/2006/relationships/hyperlink" Target="http://www.ikusle.com/" TargetMode="External"/><Relationship Id="rId342" Type="http://schemas.openxmlformats.org/officeDocument/2006/relationships/hyperlink" Target="http://trendinalia.com/twitter-trending-topics/spain/" TargetMode="External"/><Relationship Id="rId787" Type="http://schemas.openxmlformats.org/officeDocument/2006/relationships/hyperlink" Target="http://pic.twitter.com/iE4NYziMpZ" TargetMode="External"/><Relationship Id="rId994" Type="http://schemas.openxmlformats.org/officeDocument/2006/relationships/hyperlink" Target="http://pic.twitter.com/zMYLBVBNus" TargetMode="External"/><Relationship Id="rId1400" Type="http://schemas.openxmlformats.org/officeDocument/2006/relationships/hyperlink" Target="http://pic.twitter.com/1hKMHlGbpI" TargetMode="External"/><Relationship Id="rId1845" Type="http://schemas.openxmlformats.org/officeDocument/2006/relationships/hyperlink" Target="https://youtu.be/RaSIX4-RPAI" TargetMode="External"/><Relationship Id="rId2023" Type="http://schemas.openxmlformats.org/officeDocument/2006/relationships/hyperlink" Target="http://pic.twitter.com/RU9EjjynIJ" TargetMode="External"/><Relationship Id="rId202" Type="http://schemas.openxmlformats.org/officeDocument/2006/relationships/hyperlink" Target="https://pbs.twimg.com/media/DsjxP0bXQAAt9xo.jpg" TargetMode="External"/><Relationship Id="rId647" Type="http://schemas.openxmlformats.org/officeDocument/2006/relationships/hyperlink" Target="http://www.elindependiente.com/" TargetMode="External"/><Relationship Id="rId854" Type="http://schemas.openxmlformats.org/officeDocument/2006/relationships/hyperlink" Target="https://pbs.twimg.com/media/DsO_6Z4XgAE5Tau.jpg" TargetMode="External"/><Relationship Id="rId1277" Type="http://schemas.openxmlformats.org/officeDocument/2006/relationships/hyperlink" Target="https://twitter.com/Miotroyo2parte/status/1062756227644559360" TargetMode="External"/><Relationship Id="rId1484" Type="http://schemas.openxmlformats.org/officeDocument/2006/relationships/hyperlink" Target="https://twitter.com/GirautaOficial/status/1063023671512653825" TargetMode="External"/><Relationship Id="rId1691" Type="http://schemas.openxmlformats.org/officeDocument/2006/relationships/hyperlink" Target="http://pic.twitter.com/Gygotr1kDR" TargetMode="External"/><Relationship Id="rId1705" Type="http://schemas.openxmlformats.org/officeDocument/2006/relationships/hyperlink" Target="https://www.diaribalear.es/votarias-a-una-gran-coalicion-formada-por-pp-ciudadanos-y-vox-para-acabar-con-los-nacionalismos/" TargetMode="External"/><Relationship Id="rId1912" Type="http://schemas.openxmlformats.org/officeDocument/2006/relationships/hyperlink" Target="http://www.bitmomentum.com/" TargetMode="External"/><Relationship Id="rId286" Type="http://schemas.openxmlformats.org/officeDocument/2006/relationships/hyperlink" Target="http://www.casoaislado.com/" TargetMode="External"/><Relationship Id="rId493" Type="http://schemas.openxmlformats.org/officeDocument/2006/relationships/hyperlink" Target="https://twitter.com/pnique/status/1064452020613062658" TargetMode="External"/><Relationship Id="rId507" Type="http://schemas.openxmlformats.org/officeDocument/2006/relationships/hyperlink" Target="https://pbs.twimg.com/media/DsaB2dSWsAARO56.jpg" TargetMode="External"/><Relationship Id="rId714" Type="http://schemas.openxmlformats.org/officeDocument/2006/relationships/hyperlink" Target="https://pbs.twimg.com/media/DsRH4mGXQAAQnUY.jpg" TargetMode="External"/><Relationship Id="rId921" Type="http://schemas.openxmlformats.org/officeDocument/2006/relationships/hyperlink" Target="http://www.diariosur.es/" TargetMode="External"/><Relationship Id="rId1137" Type="http://schemas.openxmlformats.org/officeDocument/2006/relationships/hyperlink" Target="https://pbs.twimg.com/media/DsH_g0nWoAAmyPB.jpg" TargetMode="External"/><Relationship Id="rId1344" Type="http://schemas.openxmlformats.org/officeDocument/2006/relationships/hyperlink" Target="https://www.youtube.com/watch?v=fMWSUr7NbQY" TargetMode="External"/><Relationship Id="rId1551" Type="http://schemas.openxmlformats.org/officeDocument/2006/relationships/hyperlink" Target="https://www.facebook.com/madrid.vox/" TargetMode="External"/><Relationship Id="rId1789" Type="http://schemas.openxmlformats.org/officeDocument/2006/relationships/hyperlink" Target="https://pbs.twimg.com/media/Dr9-ts0XgAIwWKg.jpg" TargetMode="External"/><Relationship Id="rId1996" Type="http://schemas.openxmlformats.org/officeDocument/2006/relationships/hyperlink" Target="http://www.recuperandolacordura.com/" TargetMode="External"/><Relationship Id="rId50" Type="http://schemas.openxmlformats.org/officeDocument/2006/relationships/hyperlink" Target="https://twitter.com/pablocasado_/status/1065549019861172225" TargetMode="External"/><Relationship Id="rId146" Type="http://schemas.openxmlformats.org/officeDocument/2006/relationships/hyperlink" Target="https://twitter.com/ZacEfron/status/1064991224044707841" TargetMode="External"/><Relationship Id="rId353" Type="http://schemas.openxmlformats.org/officeDocument/2006/relationships/hyperlink" Target="http://www.bitmomentum.com/" TargetMode="External"/><Relationship Id="rId560" Type="http://schemas.openxmlformats.org/officeDocument/2006/relationships/hyperlink" Target="https://twitter.com/pnique/status/1064452020613062658" TargetMode="External"/><Relationship Id="rId798" Type="http://schemas.openxmlformats.org/officeDocument/2006/relationships/hyperlink" Target="https://pbs.twimg.com/media/DsSKYAbWkAYdVoJ.jpg" TargetMode="External"/><Relationship Id="rId1190" Type="http://schemas.openxmlformats.org/officeDocument/2006/relationships/hyperlink" Target="http://pic.twitter.com/B4Iwzcg6vS" TargetMode="External"/><Relationship Id="rId1204" Type="http://schemas.openxmlformats.org/officeDocument/2006/relationships/hyperlink" Target="http://www.politicaytu.com/" TargetMode="External"/><Relationship Id="rId1411" Type="http://schemas.openxmlformats.org/officeDocument/2006/relationships/hyperlink" Target="https://www.diaribalear.es/" TargetMode="External"/><Relationship Id="rId1649" Type="http://schemas.openxmlformats.org/officeDocument/2006/relationships/hyperlink" Target="http://pic.twitter.com/y9ngXhbjRy" TargetMode="External"/><Relationship Id="rId1856" Type="http://schemas.openxmlformats.org/officeDocument/2006/relationships/hyperlink" Target="https://www.larazon.es/espana/zasca-de-abascal-a-rufian-por-llamarle-senorito-en-el-video-que-reconquista-andalucia-a-caballo-JH20508405" TargetMode="External"/><Relationship Id="rId2034" Type="http://schemas.openxmlformats.org/officeDocument/2006/relationships/hyperlink" Target="https://pbs.twimg.com/media/Dr5CyBpWkAIn92s.jpg" TargetMode="External"/><Relationship Id="rId213" Type="http://schemas.openxmlformats.org/officeDocument/2006/relationships/hyperlink" Target="https://pbs.twimg.com/media/DsjsoZMWoAAa6Pb.jpg" TargetMode="External"/><Relationship Id="rId420" Type="http://schemas.openxmlformats.org/officeDocument/2006/relationships/hyperlink" Target="https://www.sevillainfo.es/noticias-de-opinion/sicabascal-el-sicab-de-abascal/" TargetMode="External"/><Relationship Id="rId658" Type="http://schemas.openxmlformats.org/officeDocument/2006/relationships/hyperlink" Target="https://pbs.twimg.com/media/DsUhQ2sXgAE1LJv.jpg" TargetMode="External"/><Relationship Id="rId865" Type="http://schemas.openxmlformats.org/officeDocument/2006/relationships/hyperlink" Target="http://tomandoimpulso.blogspot.com/" TargetMode="External"/><Relationship Id="rId1050" Type="http://schemas.openxmlformats.org/officeDocument/2006/relationships/hyperlink" Target="https://www.diaribalear.es/" TargetMode="External"/><Relationship Id="rId1288" Type="http://schemas.openxmlformats.org/officeDocument/2006/relationships/hyperlink" Target="http://pic.twitter.com/KEJ4CWltRa" TargetMode="External"/><Relationship Id="rId1495" Type="http://schemas.openxmlformats.org/officeDocument/2006/relationships/hyperlink" Target="http://www.lavozdegalicia.es/noticia/galicia/2018/11/15/programadora-acto-centro-gallego-bruselas-dice-paz/0003_201811G15P6991.htm" TargetMode="External"/><Relationship Id="rId1509" Type="http://schemas.openxmlformats.org/officeDocument/2006/relationships/hyperlink" Target="https://pbs.twimg.com/media/DsCh0W3WwAA60q2.jpg" TargetMode="External"/><Relationship Id="rId1716" Type="http://schemas.openxmlformats.org/officeDocument/2006/relationships/hyperlink" Target="https://twitter.com/rubnpulido/status/1062773364073336839" TargetMode="External"/><Relationship Id="rId1923" Type="http://schemas.openxmlformats.org/officeDocument/2006/relationships/hyperlink" Target="https://twitter.com/jon_mcenroe/timelines/540009095320076288" TargetMode="External"/><Relationship Id="rId297" Type="http://schemas.openxmlformats.org/officeDocument/2006/relationships/hyperlink" Target="https://twitter.com/JaumeVivesVives/status/1065177709272285184" TargetMode="External"/><Relationship Id="rId518" Type="http://schemas.openxmlformats.org/officeDocument/2006/relationships/hyperlink" Target="https://www.diariodecadiz.es/_4d98f724" TargetMode="External"/><Relationship Id="rId725" Type="http://schemas.openxmlformats.org/officeDocument/2006/relationships/hyperlink" Target="https://casoaislado.com/cancelan-tradicional-recital-navideno-colegio-no-ofender-los-ninos-musulmanes/" TargetMode="External"/><Relationship Id="rId932" Type="http://schemas.openxmlformats.org/officeDocument/2006/relationships/hyperlink" Target="https://www.elindependiente.com/politica/2018/11/17/abascal-usa-malamente-rosalia-terminar-mitin-vox-malaga/?utm_source=share_buttons&amp;utm_medium=twitter&amp;utm_campaign=social_share2" TargetMode="External"/><Relationship Id="rId1148" Type="http://schemas.openxmlformats.org/officeDocument/2006/relationships/hyperlink" Target="https://www.esdiario.com/57810280/Dani-Mateo-la-emprende-ahora-con-Santiago-Abascal-y-Jorge-Javier-le-para-los-pie.html" TargetMode="External"/><Relationship Id="rId1355" Type="http://schemas.openxmlformats.org/officeDocument/2006/relationships/hyperlink" Target="https://twitter.com/cruzdelsurce" TargetMode="External"/><Relationship Id="rId1562" Type="http://schemas.openxmlformats.org/officeDocument/2006/relationships/hyperlink" Target="https://twitter.com/Miotroyo2parte/status/1062756227644559360" TargetMode="External"/><Relationship Id="rId157" Type="http://schemas.openxmlformats.org/officeDocument/2006/relationships/hyperlink" Target="https://www.diaribalear.es/un-sanchismo-sin-poder-ni-honor-el-psoe-deja-solo-a-borrell-ante-los-enemigos-de-espana/" TargetMode="External"/><Relationship Id="rId364" Type="http://schemas.openxmlformats.org/officeDocument/2006/relationships/hyperlink" Target="https://youtu.be/RaSIX4-RPAI" TargetMode="External"/><Relationship Id="rId1008" Type="http://schemas.openxmlformats.org/officeDocument/2006/relationships/hyperlink" Target="https://pbs.twimg.com/media/DsMKBF6WsAAbWoc.jpg" TargetMode="External"/><Relationship Id="rId1215" Type="http://schemas.openxmlformats.org/officeDocument/2006/relationships/hyperlink" Target="https://open.spotify.com/album/3FKanDYH2t4tTXehlH9k11" TargetMode="External"/><Relationship Id="rId1422" Type="http://schemas.openxmlformats.org/officeDocument/2006/relationships/hyperlink" Target="https://www.youtube.com/watch?v=nKuTX3MaDzg" TargetMode="External"/><Relationship Id="rId1867" Type="http://schemas.openxmlformats.org/officeDocument/2006/relationships/hyperlink" Target="http://www.bitmomentum.com/" TargetMode="External"/><Relationship Id="rId2045" Type="http://schemas.openxmlformats.org/officeDocument/2006/relationships/hyperlink" Target="https://twitter.com/Rafa_Hernando/status/1062006470898786304" TargetMode="External"/><Relationship Id="rId61" Type="http://schemas.openxmlformats.org/officeDocument/2006/relationships/hyperlink" Target="https://twitter.com/324Roures/status/1065366656803897350" TargetMode="External"/><Relationship Id="rId571" Type="http://schemas.openxmlformats.org/officeDocument/2006/relationships/hyperlink" Target="https://twitter.com/Alternativa_VOX/status/1064571506599043074" TargetMode="External"/><Relationship Id="rId669" Type="http://schemas.openxmlformats.org/officeDocument/2006/relationships/hyperlink" Target="https://latribunadeespana.com/espana/vox-es-igual-a-podemos-un-voto-a-vox-es-un-voto-a-podemos?fbclid=IwAR2U6FFfUACjoPIBskrDqhNf0VltzqvROnSBLBhjXi6N5eMxNC9MvqMJvuI" TargetMode="External"/><Relationship Id="rId876" Type="http://schemas.openxmlformats.org/officeDocument/2006/relationships/hyperlink" Target="https://pbs.twimg.com/media/DsOZSmQXgAELYbQ.jpg" TargetMode="External"/><Relationship Id="rId1299" Type="http://schemas.openxmlformats.org/officeDocument/2006/relationships/hyperlink" Target="https://pbs.twimg.com/media/DsEr0PTW4AAPczs.jpg" TargetMode="External"/><Relationship Id="rId1727" Type="http://schemas.openxmlformats.org/officeDocument/2006/relationships/hyperlink" Target="https://pbs.twimg.com/media/Dr_BqhOWsAAp0qo.jpg" TargetMode="External"/><Relationship Id="rId1934" Type="http://schemas.openxmlformats.org/officeDocument/2006/relationships/hyperlink" Target="https://pbs.twimg.com/media/Dr1wJGxWwAE79-i.jpg" TargetMode="External"/><Relationship Id="rId19" Type="http://schemas.openxmlformats.org/officeDocument/2006/relationships/hyperlink" Target="https://pbs.twimg.com/media/DsryCfbXoAA0dgT.jpg" TargetMode="External"/><Relationship Id="rId224" Type="http://schemas.openxmlformats.org/officeDocument/2006/relationships/hyperlink" Target="https://politica.e-noticies.cat/vox-venc-els-cdr-120887.html" TargetMode="External"/><Relationship Id="rId431" Type="http://schemas.openxmlformats.org/officeDocument/2006/relationships/hyperlink" Target="https://youtu.be/XOa4zMIsz-k" TargetMode="External"/><Relationship Id="rId529" Type="http://schemas.openxmlformats.org/officeDocument/2006/relationships/hyperlink" Target="http://ddcadiz.info/bim2s1" TargetMode="External"/><Relationship Id="rId736" Type="http://schemas.openxmlformats.org/officeDocument/2006/relationships/hyperlink" Target="http://pic.twitter.com/LKuruj7yPq" TargetMode="External"/><Relationship Id="rId1061" Type="http://schemas.openxmlformats.org/officeDocument/2006/relationships/hyperlink" Target="http://pic.twitter.com/iSuzJneP4Y" TargetMode="External"/><Relationship Id="rId1159" Type="http://schemas.openxmlformats.org/officeDocument/2006/relationships/hyperlink" Target="http://www.alexgallego.com/" TargetMode="External"/><Relationship Id="rId1366" Type="http://schemas.openxmlformats.org/officeDocument/2006/relationships/hyperlink" Target="https://pbs.twimg.com/media/DsEIOTPX4AA7zfD.jpg" TargetMode="External"/><Relationship Id="rId168" Type="http://schemas.openxmlformats.org/officeDocument/2006/relationships/hyperlink" Target="http://www.bitmomentum.com/" TargetMode="External"/><Relationship Id="rId943" Type="http://schemas.openxmlformats.org/officeDocument/2006/relationships/hyperlink" Target="https://www.horasur.com/articulo/campo-de-gibraltar/santiago-abascal-lider-vox-estara-domingo-barrios/20181116231707037257.html" TargetMode="External"/><Relationship Id="rId1019" Type="http://schemas.openxmlformats.org/officeDocument/2006/relationships/hyperlink" Target="http://pic.twitter.com/FYT4WXgYsR" TargetMode="External"/><Relationship Id="rId1573" Type="http://schemas.openxmlformats.org/officeDocument/2006/relationships/hyperlink" Target="https://twitter.com/alonso_dm/status/1062799262323482624" TargetMode="External"/><Relationship Id="rId1780" Type="http://schemas.openxmlformats.org/officeDocument/2006/relationships/hyperlink" Target="http://www.bitmomentum.com/" TargetMode="External"/><Relationship Id="rId1878" Type="http://schemas.openxmlformats.org/officeDocument/2006/relationships/hyperlink" Target="https://pbs.twimg.com/media/Dr8fiiQXgAAiYA0.jpg" TargetMode="External"/><Relationship Id="rId72" Type="http://schemas.openxmlformats.org/officeDocument/2006/relationships/hyperlink" Target="https://pbs.twimg.com/media/Dsom5jvWkAArJOd.jpg" TargetMode="External"/><Relationship Id="rId375" Type="http://schemas.openxmlformats.org/officeDocument/2006/relationships/hyperlink" Target="http://www.aloeforever.info/" TargetMode="External"/><Relationship Id="rId582" Type="http://schemas.openxmlformats.org/officeDocument/2006/relationships/hyperlink" Target="https://lorrysfoto.wordpress.com/" TargetMode="External"/><Relationship Id="rId803" Type="http://schemas.openxmlformats.org/officeDocument/2006/relationships/hyperlink" Target="https://twitter.com/antonioperal/status/1064103915057283072" TargetMode="External"/><Relationship Id="rId1226" Type="http://schemas.openxmlformats.org/officeDocument/2006/relationships/hyperlink" Target="https://www.periodistadigital.com/periodismo/tv/2018/11/15/abascal-estalla-y-emite-un-demoledor-video-contra-ferreras-y-la-manipulacion-de-lasexta.shtml" TargetMode="External"/><Relationship Id="rId1433" Type="http://schemas.openxmlformats.org/officeDocument/2006/relationships/hyperlink" Target="https://twitter.com/alonso_dm/status/1063077473959714816" TargetMode="External"/><Relationship Id="rId1640" Type="http://schemas.openxmlformats.org/officeDocument/2006/relationships/hyperlink" Target="http://pic.twitter.com/4yytrnb5Dw" TargetMode="External"/><Relationship Id="rId1738" Type="http://schemas.openxmlformats.org/officeDocument/2006/relationships/hyperlink" Target="https://twitter.com/Arran_jovent/status/1062630299463532544" TargetMode="External"/><Relationship Id="rId2056" Type="http://schemas.openxmlformats.org/officeDocument/2006/relationships/hyperlink" Target="http://pic.twitter.com/9rtkTcIfVw" TargetMode="External"/><Relationship Id="rId3" Type="http://schemas.openxmlformats.org/officeDocument/2006/relationships/hyperlink" Target="https://www.abc.es/sociedad/abci-hombres-violan-joven-y-dejan-abandonada-lavabos-sala-fiestas-granada-201811231148_noticia.html" TargetMode="External"/><Relationship Id="rId235" Type="http://schemas.openxmlformats.org/officeDocument/2006/relationships/hyperlink" Target="https://pbs.twimg.com/media/DsjXuQEW0AIQN9z.jpg" TargetMode="External"/><Relationship Id="rId442" Type="http://schemas.openxmlformats.org/officeDocument/2006/relationships/hyperlink" Target="https://youtu.be/snoF1z5t204" TargetMode="External"/><Relationship Id="rId887" Type="http://schemas.openxmlformats.org/officeDocument/2006/relationships/hyperlink" Target="https://pbs.twimg.com/media/DsOQKJjX4AAXchO.jpg" TargetMode="External"/><Relationship Id="rId1072" Type="http://schemas.openxmlformats.org/officeDocument/2006/relationships/hyperlink" Target="https://pbs.twimg.com/media/DsJiZunXQAEIMPf.jpg" TargetMode="External"/><Relationship Id="rId1500" Type="http://schemas.openxmlformats.org/officeDocument/2006/relationships/hyperlink" Target="https://twitter.com/numer344/status/1062845099502120965" TargetMode="External"/><Relationship Id="rId1945" Type="http://schemas.openxmlformats.org/officeDocument/2006/relationships/hyperlink" Target="http://www.bitmomentum.com/" TargetMode="External"/><Relationship Id="rId302" Type="http://schemas.openxmlformats.org/officeDocument/2006/relationships/hyperlink" Target="https://pbs.twimg.com/media/DshnPr8WoAAKGuM.jpg" TargetMode="External"/><Relationship Id="rId747" Type="http://schemas.openxmlformats.org/officeDocument/2006/relationships/hyperlink" Target="https://pbs.twimg.com/media/DsSX1C7XcAA8EgY.jpg" TargetMode="External"/><Relationship Id="rId954" Type="http://schemas.openxmlformats.org/officeDocument/2006/relationships/hyperlink" Target="http://pic.twitter.com/BjFTk3Yt90" TargetMode="External"/><Relationship Id="rId1377" Type="http://schemas.openxmlformats.org/officeDocument/2006/relationships/hyperlink" Target="https://occ.org.es/index.php/quienes-somos-que-hacemos/" TargetMode="External"/><Relationship Id="rId1584" Type="http://schemas.openxmlformats.org/officeDocument/2006/relationships/hyperlink" Target="http://pic.twitter.com/ZGNTIez5D8" TargetMode="External"/><Relationship Id="rId1791" Type="http://schemas.openxmlformats.org/officeDocument/2006/relationships/hyperlink" Target="http://www.bitmomentum.com/" TargetMode="External"/><Relationship Id="rId1805" Type="http://schemas.openxmlformats.org/officeDocument/2006/relationships/hyperlink" Target="https://twitter.com/Jaquesdmolay/status/1062674813767110656" TargetMode="External"/><Relationship Id="rId83" Type="http://schemas.openxmlformats.org/officeDocument/2006/relationships/hyperlink" Target="http://foronaranja.es/" TargetMode="External"/><Relationship Id="rId179" Type="http://schemas.openxmlformats.org/officeDocument/2006/relationships/hyperlink" Target="https://pbs.twimg.com/media/DskopMRXgAEVfNK.jpg" TargetMode="External"/><Relationship Id="rId386" Type="http://schemas.openxmlformats.org/officeDocument/2006/relationships/hyperlink" Target="http://google.com/" TargetMode="External"/><Relationship Id="rId593" Type="http://schemas.openxmlformats.org/officeDocument/2006/relationships/hyperlink" Target="https://pbs.twimg.com/media/DsX9BHJWkAAucu2.jpg" TargetMode="External"/><Relationship Id="rId607" Type="http://schemas.openxmlformats.org/officeDocument/2006/relationships/hyperlink" Target="http://www.voxespana.es/cordoba" TargetMode="External"/><Relationship Id="rId814" Type="http://schemas.openxmlformats.org/officeDocument/2006/relationships/hyperlink" Target="https://pbs.twimg.com/media/DsRppI1WwAA59MH.jpg" TargetMode="External"/><Relationship Id="rId1237" Type="http://schemas.openxmlformats.org/officeDocument/2006/relationships/hyperlink" Target="http://www.bitmomentum.com/" TargetMode="External"/><Relationship Id="rId1444" Type="http://schemas.openxmlformats.org/officeDocument/2006/relationships/hyperlink" Target="http://pic.twitter.com/U4VNtviqdA" TargetMode="External"/><Relationship Id="rId1651" Type="http://schemas.openxmlformats.org/officeDocument/2006/relationships/hyperlink" Target="http://youtu.be/npe7qut04G4?a" TargetMode="External"/><Relationship Id="rId1889" Type="http://schemas.openxmlformats.org/officeDocument/2006/relationships/hyperlink" Target="http://www.bitmomentum.com/" TargetMode="External"/><Relationship Id="rId2067" Type="http://schemas.openxmlformats.org/officeDocument/2006/relationships/hyperlink" Target="http://www.101tv.es/noticias/elecciones-2d-santiago-abascal-anuncia-que-vox-prepara-un-gran-acto-el-sabado-en-malaga.aspx" TargetMode="External"/><Relationship Id="rId246" Type="http://schemas.openxmlformats.org/officeDocument/2006/relationships/hyperlink" Target="https://www.publico.es/tremending/2018/10/09/erase-una-vez-santi-abascal-y-albert-rivera-viviendo-una-historia-de-amor-en-el-gato-al-agua/" TargetMode="External"/><Relationship Id="rId453" Type="http://schemas.openxmlformats.org/officeDocument/2006/relationships/hyperlink" Target="http://www.bitmomentum.com/" TargetMode="External"/><Relationship Id="rId660" Type="http://schemas.openxmlformats.org/officeDocument/2006/relationships/hyperlink" Target="https://www.elespanol.com/espana/politica/20181119/controlaremos-sala-segunda-cosido-justificando-psoe-cgpj/354214577_0.amp.html?__twitter_impression=true" TargetMode="External"/><Relationship Id="rId898" Type="http://schemas.openxmlformats.org/officeDocument/2006/relationships/hyperlink" Target="http://www.voxespana.es/jaen" TargetMode="External"/><Relationship Id="rId1083" Type="http://schemas.openxmlformats.org/officeDocument/2006/relationships/hyperlink" Target="http://www.bitmomentum.com/" TargetMode="External"/><Relationship Id="rId1290" Type="http://schemas.openxmlformats.org/officeDocument/2006/relationships/hyperlink" Target="https://www.periodistadigital.com/periodismo/tv/2018/11/15/abascal-estalla-y-emite-un-demoledor-video-contra-ferreras-y-la-manipulacion-de-lasexta.shtml" TargetMode="External"/><Relationship Id="rId1304" Type="http://schemas.openxmlformats.org/officeDocument/2006/relationships/hyperlink" Target="http://cukecito.blogspot.com/" TargetMode="External"/><Relationship Id="rId1511" Type="http://schemas.openxmlformats.org/officeDocument/2006/relationships/hyperlink" Target="http://www.ikusle.com/" TargetMode="External"/><Relationship Id="rId1749" Type="http://schemas.openxmlformats.org/officeDocument/2006/relationships/hyperlink" Target="http://pic.twitter.com/LFtbQf0446" TargetMode="External"/><Relationship Id="rId1956" Type="http://schemas.openxmlformats.org/officeDocument/2006/relationships/hyperlink" Target="http://www.techirepesca.cat/" TargetMode="External"/><Relationship Id="rId106" Type="http://schemas.openxmlformats.org/officeDocument/2006/relationships/hyperlink" Target="https://pbs.twimg.com/media/DsnahdEWkAIolWI.jpg" TargetMode="External"/><Relationship Id="rId313" Type="http://schemas.openxmlformats.org/officeDocument/2006/relationships/hyperlink" Target="https://pbs.twimg.com/media/Dseb3ywUUAA7Nkc.jpg" TargetMode="External"/><Relationship Id="rId758" Type="http://schemas.openxmlformats.org/officeDocument/2006/relationships/hyperlink" Target="http://pic.twitter.com/b3VGzjEklH" TargetMode="External"/><Relationship Id="rId965" Type="http://schemas.openxmlformats.org/officeDocument/2006/relationships/hyperlink" Target="http://www.voxespana.es/" TargetMode="External"/><Relationship Id="rId1150" Type="http://schemas.openxmlformats.org/officeDocument/2006/relationships/hyperlink" Target="https://pbs.twimg.com/media/DsH51vkWkAAaW99.jpg" TargetMode="External"/><Relationship Id="rId1388" Type="http://schemas.openxmlformats.org/officeDocument/2006/relationships/hyperlink" Target="http://pic.twitter.com/1hKMHlGbpI" TargetMode="External"/><Relationship Id="rId1595" Type="http://schemas.openxmlformats.org/officeDocument/2006/relationships/hyperlink" Target="https://twitter.com/vox_es/status/1062799090260557824?s=21" TargetMode="External"/><Relationship Id="rId1609" Type="http://schemas.openxmlformats.org/officeDocument/2006/relationships/hyperlink" Target="http://pic.twitter.com/Gygotr1kDR" TargetMode="External"/><Relationship Id="rId1816" Type="http://schemas.openxmlformats.org/officeDocument/2006/relationships/hyperlink" Target="http://www.bitmomentum.com/" TargetMode="External"/><Relationship Id="rId10" Type="http://schemas.openxmlformats.org/officeDocument/2006/relationships/hyperlink" Target="https://www.mediterraneodigital.com/espana/nacional/las-6-politicas-espanolas-que-nunca-han-trabajado.html?fbclid=IwAR04V_a-PhOxe64Fn8F0cOuZZ1EeeTDqy3DTuS5-m8I6hYp16zOHoGQwlsM" TargetMode="External"/><Relationship Id="rId94" Type="http://schemas.openxmlformats.org/officeDocument/2006/relationships/hyperlink" Target="http://ca.wikipedia.org/wiki/Arnau_Mir_de_Tost" TargetMode="External"/><Relationship Id="rId397" Type="http://schemas.openxmlformats.org/officeDocument/2006/relationships/hyperlink" Target="https://pbs.twimg.com/media/DsegT5-WsAIQa4c.jpg" TargetMode="External"/><Relationship Id="rId520" Type="http://schemas.openxmlformats.org/officeDocument/2006/relationships/hyperlink" Target="https://pbs.twimg.com/media/DsZm6lmWwAA0W2y.jpg" TargetMode="External"/><Relationship Id="rId618" Type="http://schemas.openxmlformats.org/officeDocument/2006/relationships/hyperlink" Target="http://www.elindependiente.com/" TargetMode="External"/><Relationship Id="rId825" Type="http://schemas.openxmlformats.org/officeDocument/2006/relationships/hyperlink" Target="http://www.outono.net/elentir/2018/11/18/santiago-abascal-defiende-la-libertad-para-comer-jamon-y-asi-lo-manipulan-algunos/" TargetMode="External"/><Relationship Id="rId1248" Type="http://schemas.openxmlformats.org/officeDocument/2006/relationships/hyperlink" Target="http://www.bitmomentum.com/" TargetMode="External"/><Relationship Id="rId1455" Type="http://schemas.openxmlformats.org/officeDocument/2006/relationships/hyperlink" Target="http://pic.twitter.com/iSuzJneP4Y" TargetMode="External"/><Relationship Id="rId1662" Type="http://schemas.openxmlformats.org/officeDocument/2006/relationships/hyperlink" Target="https://pbs.twimg.com/media/Dr_h_R4XQAAPPLV.jpg" TargetMode="External"/><Relationship Id="rId257" Type="http://schemas.openxmlformats.org/officeDocument/2006/relationships/hyperlink" Target="http://www.voxespana.es/" TargetMode="External"/><Relationship Id="rId464" Type="http://schemas.openxmlformats.org/officeDocument/2006/relationships/hyperlink" Target="http://pic.twitter.com/TVyZ2OHT9z" TargetMode="External"/><Relationship Id="rId1010" Type="http://schemas.openxmlformats.org/officeDocument/2006/relationships/hyperlink" Target="https://twitter.com/trendinaliaES/timelines/1063675360422715393" TargetMode="External"/><Relationship Id="rId1094" Type="http://schemas.openxmlformats.org/officeDocument/2006/relationships/hyperlink" Target="http://pic.twitter.com/C1DA2h9ayA" TargetMode="External"/><Relationship Id="rId1108" Type="http://schemas.openxmlformats.org/officeDocument/2006/relationships/hyperlink" Target="http://www.voxespana.es/sevilla" TargetMode="External"/><Relationship Id="rId1315" Type="http://schemas.openxmlformats.org/officeDocument/2006/relationships/hyperlink" Target="http://www.periodistadigital.tv/santi-abascal-vox-asi-manipula-lasextatv-de-ferreras-y-compinches_26ef78bf8.html" TargetMode="External"/><Relationship Id="rId1967" Type="http://schemas.openxmlformats.org/officeDocument/2006/relationships/hyperlink" Target="https://youtu.be/RaSIX4-RPAI" TargetMode="External"/><Relationship Id="rId117" Type="http://schemas.openxmlformats.org/officeDocument/2006/relationships/hyperlink" Target="http://pic.twitter.com/IlDLl70iZx" TargetMode="External"/><Relationship Id="rId671" Type="http://schemas.openxmlformats.org/officeDocument/2006/relationships/hyperlink" Target="https://twitter.com/CafeLucha/status/1064241152671531009" TargetMode="External"/><Relationship Id="rId769" Type="http://schemas.openxmlformats.org/officeDocument/2006/relationships/hyperlink" Target="https://www.elblogsalmon.com/indicadores-y-estadisticas/bruselas-revisa-a-baja-previsiones-para-espana-todos-detalles" TargetMode="External"/><Relationship Id="rId976" Type="http://schemas.openxmlformats.org/officeDocument/2006/relationships/hyperlink" Target="https://www.voxespana.es/albacete" TargetMode="External"/><Relationship Id="rId1399" Type="http://schemas.openxmlformats.org/officeDocument/2006/relationships/hyperlink" Target="https://twitter.com/Santi_ABASCAL/status/1063066152648228866?s=19" TargetMode="External"/><Relationship Id="rId324" Type="http://schemas.openxmlformats.org/officeDocument/2006/relationships/hyperlink" Target="https://pbs.twimg.com/media/DsfQsJuXQAEgPS8.jpg" TargetMode="External"/><Relationship Id="rId531" Type="http://schemas.openxmlformats.org/officeDocument/2006/relationships/hyperlink" Target="http://edcordoba.info/1trr21" TargetMode="External"/><Relationship Id="rId629" Type="http://schemas.openxmlformats.org/officeDocument/2006/relationships/hyperlink" Target="https://casoaislado.com/santiago-abascal-lo-deja-claro-campo-gibraltar-gibraltar-espanol/" TargetMode="External"/><Relationship Id="rId1161" Type="http://schemas.openxmlformats.org/officeDocument/2006/relationships/hyperlink" Target="https://www.elespanol.com/espana/politica/20181116/reacciono-ortega-lara-canticos-vuelve-fe-serenidad/353466157_0.html" TargetMode="External"/><Relationship Id="rId1259" Type="http://schemas.openxmlformats.org/officeDocument/2006/relationships/hyperlink" Target="https://pbs.twimg.com/media/DsFPWE6WsAEutlC.jpg" TargetMode="External"/><Relationship Id="rId1466" Type="http://schemas.openxmlformats.org/officeDocument/2006/relationships/hyperlink" Target="http://pic.twitter.com/1hKMHlGbpI" TargetMode="External"/><Relationship Id="rId2005" Type="http://schemas.openxmlformats.org/officeDocument/2006/relationships/hyperlink" Target="https://pbs.twimg.com/media/Dr5W5DYW4AUiCgQ.jpg" TargetMode="External"/><Relationship Id="rId836" Type="http://schemas.openxmlformats.org/officeDocument/2006/relationships/hyperlink" Target="http://pic.twitter.com/nzwPLJszNm" TargetMode="External"/><Relationship Id="rId1021" Type="http://schemas.openxmlformats.org/officeDocument/2006/relationships/hyperlink" Target="https://twitter.com/vox_es/status/1063582217945972738" TargetMode="External"/><Relationship Id="rId1119" Type="http://schemas.openxmlformats.org/officeDocument/2006/relationships/hyperlink" Target="https://www.voxespana.es/" TargetMode="External"/><Relationship Id="rId1673" Type="http://schemas.openxmlformats.org/officeDocument/2006/relationships/hyperlink" Target="http://pic.twitter.com/Gygotr1kDR" TargetMode="External"/><Relationship Id="rId1880" Type="http://schemas.openxmlformats.org/officeDocument/2006/relationships/hyperlink" Target="http://trendinalia.com/twitter-trending-topics/spain/" TargetMode="External"/><Relationship Id="rId1978" Type="http://schemas.openxmlformats.org/officeDocument/2006/relationships/hyperlink" Target="http://instagram.com/carlos___senpai" TargetMode="External"/><Relationship Id="rId903" Type="http://schemas.openxmlformats.org/officeDocument/2006/relationships/hyperlink" Target="https://pbs.twimg.com/media/DsNlHYWXcAUckGv.jpg" TargetMode="External"/><Relationship Id="rId1326" Type="http://schemas.openxmlformats.org/officeDocument/2006/relationships/hyperlink" Target="http://www.lasexta.com/elintermedio" TargetMode="External"/><Relationship Id="rId1533" Type="http://schemas.openxmlformats.org/officeDocument/2006/relationships/hyperlink" Target="http://diariodeunamujerlibre.wordpress.com/" TargetMode="External"/><Relationship Id="rId1740" Type="http://schemas.openxmlformats.org/officeDocument/2006/relationships/hyperlink" Target="https://twitter.com/voxnoticias_es/status/1062759518382231552" TargetMode="External"/><Relationship Id="rId32" Type="http://schemas.openxmlformats.org/officeDocument/2006/relationships/hyperlink" Target="https://pbs.twimg.com/media/DsDAbt8WsAEgXNa.jpg" TargetMode="External"/><Relationship Id="rId1600" Type="http://schemas.openxmlformats.org/officeDocument/2006/relationships/hyperlink" Target="https://twitter.com/twitter/statuses/1062823263120879616" TargetMode="External"/><Relationship Id="rId1838" Type="http://schemas.openxmlformats.org/officeDocument/2006/relationships/hyperlink" Target="http://www.ricardosuarez.es/" TargetMode="External"/><Relationship Id="rId181" Type="http://schemas.openxmlformats.org/officeDocument/2006/relationships/hyperlink" Target="http://www.bitmomentum.com/" TargetMode="External"/><Relationship Id="rId1905" Type="http://schemas.openxmlformats.org/officeDocument/2006/relationships/hyperlink" Target="http://www.bitmomentum.com/" TargetMode="External"/><Relationship Id="rId279" Type="http://schemas.openxmlformats.org/officeDocument/2006/relationships/hyperlink" Target="https://twitter.com/rosadiezglez/status/1065190591817048064" TargetMode="External"/><Relationship Id="rId486" Type="http://schemas.openxmlformats.org/officeDocument/2006/relationships/hyperlink" Target="http://instagram.com/nuharguez" TargetMode="External"/><Relationship Id="rId693" Type="http://schemas.openxmlformats.org/officeDocument/2006/relationships/hyperlink" Target="https://todosondeos.blogspot.com/" TargetMode="External"/><Relationship Id="rId139" Type="http://schemas.openxmlformats.org/officeDocument/2006/relationships/hyperlink" Target="http://www.bitmomentum.com/" TargetMode="External"/><Relationship Id="rId346" Type="http://schemas.openxmlformats.org/officeDocument/2006/relationships/hyperlink" Target="https://www.instagram.com/p/BqbAd-mAPS_/?utm_source=ig_share_sheet&amp;igshid=1xolup3cm7sxn" TargetMode="External"/><Relationship Id="rId553" Type="http://schemas.openxmlformats.org/officeDocument/2006/relationships/hyperlink" Target="https://www.abc.es/sociedad/abci-profesora-puedo-llorar-castellano-201811190202_noticia.html" TargetMode="External"/><Relationship Id="rId760" Type="http://schemas.openxmlformats.org/officeDocument/2006/relationships/hyperlink" Target="https://twitter.com/bukukubukuku/status/1064121896395046912" TargetMode="External"/><Relationship Id="rId998" Type="http://schemas.openxmlformats.org/officeDocument/2006/relationships/hyperlink" Target="http://www.luchaantignorancia.com/" TargetMode="External"/><Relationship Id="rId1183" Type="http://schemas.openxmlformats.org/officeDocument/2006/relationships/hyperlink" Target="http://www.realmadrid.com/" TargetMode="External"/><Relationship Id="rId1390" Type="http://schemas.openxmlformats.org/officeDocument/2006/relationships/hyperlink" Target="https://twitter.com/Miotroyo2parte/status/1063120086674915328" TargetMode="External"/><Relationship Id="rId2027" Type="http://schemas.openxmlformats.org/officeDocument/2006/relationships/hyperlink" Target="http://www.voxespana.es/" TargetMode="External"/><Relationship Id="rId206" Type="http://schemas.openxmlformats.org/officeDocument/2006/relationships/hyperlink" Target="http://www.bitmomentum.com/" TargetMode="External"/><Relationship Id="rId413" Type="http://schemas.openxmlformats.org/officeDocument/2006/relationships/hyperlink" Target="http://pic.twitter.com/ee7D3q2jfK" TargetMode="External"/><Relationship Id="rId858" Type="http://schemas.openxmlformats.org/officeDocument/2006/relationships/hyperlink" Target="https://www.abc.es/economia/abci-bruselas-apunta-autonomias-como-gran-problema-espana-201805232114_noticia.html" TargetMode="External"/><Relationship Id="rId1043" Type="http://schemas.openxmlformats.org/officeDocument/2006/relationships/hyperlink" Target="https://twitter.com/marubimo/status/1063411934559694850" TargetMode="External"/><Relationship Id="rId1488" Type="http://schemas.openxmlformats.org/officeDocument/2006/relationships/hyperlink" Target="https://pbs.twimg.com/media/DsCxiwrX4AAV6_6.jpg" TargetMode="External"/><Relationship Id="rId1695" Type="http://schemas.openxmlformats.org/officeDocument/2006/relationships/hyperlink" Target="http://www.bitmomentum.com/" TargetMode="External"/><Relationship Id="rId620" Type="http://schemas.openxmlformats.org/officeDocument/2006/relationships/hyperlink" Target="https://youtu.be/RF8a8VAIP2c" TargetMode="External"/><Relationship Id="rId718" Type="http://schemas.openxmlformats.org/officeDocument/2006/relationships/hyperlink" Target="https://pbs.twimg.com/media/DsT9owkW0AESBFu.jpg" TargetMode="External"/><Relationship Id="rId925" Type="http://schemas.openxmlformats.org/officeDocument/2006/relationships/hyperlink" Target="https://twitter.com/PabloMM/status/1063174876515786752" TargetMode="External"/><Relationship Id="rId1250" Type="http://schemas.openxmlformats.org/officeDocument/2006/relationships/hyperlink" Target="https://www.periodistadigital.com/periodismo/tv/2018/11/15/abascal-estalla-y-emite-un-demoledor-video-contra-ferreras-y-la-manipulacion-de-lasexta.shtml" TargetMode="External"/><Relationship Id="rId1348" Type="http://schemas.openxmlformats.org/officeDocument/2006/relationships/hyperlink" Target="https://www.periodistadigital.com/periodismo/tv/2018/11/15/abascal-estalla-y-emite-un-demoledor-video-contra-ferreras-y-la-manipulacion-de-lasexta.shtml" TargetMode="External"/><Relationship Id="rId1555" Type="http://schemas.openxmlformats.org/officeDocument/2006/relationships/hyperlink" Target="http://www.bitmomentum.com/" TargetMode="External"/><Relationship Id="rId1762" Type="http://schemas.openxmlformats.org/officeDocument/2006/relationships/hyperlink" Target="http://www.bitmomentum.com/" TargetMode="External"/><Relationship Id="rId1110" Type="http://schemas.openxmlformats.org/officeDocument/2006/relationships/hyperlink" Target="https://twitter.com/er_9569/status/1063065564493606912" TargetMode="External"/><Relationship Id="rId1208" Type="http://schemas.openxmlformats.org/officeDocument/2006/relationships/hyperlink" Target="https://pbs.twimg.com/media/DsG0nO4XgAAdlIc.jpg" TargetMode="External"/><Relationship Id="rId1415" Type="http://schemas.openxmlformats.org/officeDocument/2006/relationships/hyperlink" Target="https://twitter.com/Santi_ABASCAL/status/1063066152648228866" TargetMode="External"/><Relationship Id="rId54" Type="http://schemas.openxmlformats.org/officeDocument/2006/relationships/hyperlink" Target="http://www.voxespana.es/huelva" TargetMode="External"/><Relationship Id="rId1622" Type="http://schemas.openxmlformats.org/officeDocument/2006/relationships/hyperlink" Target="http://www.dailymur.com/" TargetMode="External"/><Relationship Id="rId1927" Type="http://schemas.openxmlformats.org/officeDocument/2006/relationships/hyperlink" Target="https://twitter.com/Rafa_Hernando/status/1062006470898786304" TargetMode="External"/><Relationship Id="rId270" Type="http://schemas.openxmlformats.org/officeDocument/2006/relationships/hyperlink" Target="https://pbs.twimg.com/media/Dsieb4IX4AEUXpQ.jpg" TargetMode="External"/><Relationship Id="rId130" Type="http://schemas.openxmlformats.org/officeDocument/2006/relationships/hyperlink" Target="http://pic.twitter.com/CQPTeuMzVI" TargetMode="External"/><Relationship Id="rId368" Type="http://schemas.openxmlformats.org/officeDocument/2006/relationships/hyperlink" Target="http://pic.twitter.com/F18eLKasbA" TargetMode="External"/><Relationship Id="rId575" Type="http://schemas.openxmlformats.org/officeDocument/2006/relationships/hyperlink" Target="http://pic.twitter.com/jZNIjN8Zc4" TargetMode="External"/><Relationship Id="rId782" Type="http://schemas.openxmlformats.org/officeDocument/2006/relationships/hyperlink" Target="http://albertosanzblanco.wordpress.com/" TargetMode="External"/><Relationship Id="rId2049" Type="http://schemas.openxmlformats.org/officeDocument/2006/relationships/hyperlink" Target="https://twitter.com/ElCascabelTRECE/status/1062107008575397888" TargetMode="External"/><Relationship Id="rId228" Type="http://schemas.openxmlformats.org/officeDocument/2006/relationships/hyperlink" Target="http://opyno.org/" TargetMode="External"/><Relationship Id="rId435" Type="http://schemas.openxmlformats.org/officeDocument/2006/relationships/hyperlink" Target="https://pbs.twimg.com/media/Dsdw9T3XoAANmSV.jpg" TargetMode="External"/><Relationship Id="rId642" Type="http://schemas.openxmlformats.org/officeDocument/2006/relationships/hyperlink" Target="https://leerporleer.com/?product=la-espana-viva" TargetMode="External"/><Relationship Id="rId1065" Type="http://schemas.openxmlformats.org/officeDocument/2006/relationships/hyperlink" Target="https://pbs.twimg.com/media/DsJlO8iX4AE2uTH.jpg" TargetMode="External"/><Relationship Id="rId1272" Type="http://schemas.openxmlformats.org/officeDocument/2006/relationships/hyperlink" Target="http://www.bitmomentum.com/" TargetMode="External"/><Relationship Id="rId502" Type="http://schemas.openxmlformats.org/officeDocument/2006/relationships/hyperlink" Target="https://www.julianlara.com/" TargetMode="External"/><Relationship Id="rId947" Type="http://schemas.openxmlformats.org/officeDocument/2006/relationships/hyperlink" Target="https://twitter.com/vox_es/status/1063756312025145344" TargetMode="External"/><Relationship Id="rId1132" Type="http://schemas.openxmlformats.org/officeDocument/2006/relationships/hyperlink" Target="https://youtu.be/7piMTiR4ozc" TargetMode="External"/><Relationship Id="rId1577" Type="http://schemas.openxmlformats.org/officeDocument/2006/relationships/hyperlink" Target="http://pic.twitter.com/KEJ4CWltRa" TargetMode="External"/><Relationship Id="rId1784" Type="http://schemas.openxmlformats.org/officeDocument/2006/relationships/hyperlink" Target="http://www.bitmomentum.com/" TargetMode="External"/><Relationship Id="rId1991" Type="http://schemas.openxmlformats.org/officeDocument/2006/relationships/hyperlink" Target="http://finofilipino.org/" TargetMode="External"/><Relationship Id="rId76" Type="http://schemas.openxmlformats.org/officeDocument/2006/relationships/hyperlink" Target="https://pbs.twimg.com/media/DsodC0FXoAY6341.jpg" TargetMode="External"/><Relationship Id="rId807" Type="http://schemas.openxmlformats.org/officeDocument/2006/relationships/hyperlink" Target="http://www.procreart.net/" TargetMode="External"/><Relationship Id="rId1437" Type="http://schemas.openxmlformats.org/officeDocument/2006/relationships/hyperlink" Target="http://pic.twitter.com/1tLSpbkLQK" TargetMode="External"/><Relationship Id="rId1644" Type="http://schemas.openxmlformats.org/officeDocument/2006/relationships/hyperlink" Target="https://twitter.com/tu_matar/status/1062790502913843200" TargetMode="External"/><Relationship Id="rId1851" Type="http://schemas.openxmlformats.org/officeDocument/2006/relationships/hyperlink" Target="https://pbs.twimg.com/media/Dr9CuR9WkAE6O9u.jpg" TargetMode="External"/><Relationship Id="rId1504" Type="http://schemas.openxmlformats.org/officeDocument/2006/relationships/hyperlink" Target="https://youtu.be/RaSIX4-RPAI" TargetMode="External"/><Relationship Id="rId1711" Type="http://schemas.openxmlformats.org/officeDocument/2006/relationships/hyperlink" Target="http://pic.twitter.com/eNxczwgI9b" TargetMode="External"/><Relationship Id="rId1949" Type="http://schemas.openxmlformats.org/officeDocument/2006/relationships/hyperlink" Target="http://www.bitmomentum.com/" TargetMode="External"/><Relationship Id="rId292" Type="http://schemas.openxmlformats.org/officeDocument/2006/relationships/hyperlink" Target="http://c&#225;llate.com/" TargetMode="External"/><Relationship Id="rId1809" Type="http://schemas.openxmlformats.org/officeDocument/2006/relationships/hyperlink" Target="https://pbs.twimg.com/media/Dr9gB32XQAA8hp2.jpg" TargetMode="External"/><Relationship Id="rId597" Type="http://schemas.openxmlformats.org/officeDocument/2006/relationships/hyperlink" Target="https://twitter.com/socialpi_es/status/1064532159229251584" TargetMode="External"/><Relationship Id="rId152" Type="http://schemas.openxmlformats.org/officeDocument/2006/relationships/hyperlink" Target="https://pbs.twimg.com/media/DsmAG04W0AED2x8.jpg" TargetMode="External"/><Relationship Id="rId457" Type="http://schemas.openxmlformats.org/officeDocument/2006/relationships/hyperlink" Target="https://pbs.twimg.com/media/DsdAKcNWwAAaYAz.png" TargetMode="External"/><Relationship Id="rId1087" Type="http://schemas.openxmlformats.org/officeDocument/2006/relationships/hyperlink" Target="https://www.youtube.com/attribution_link?a=AGSu0akKNLI&amp;u=%2Fwatch%3Fv%3D5LeDQjo7Cww%26feature%3Dshare" TargetMode="External"/><Relationship Id="rId1294" Type="http://schemas.openxmlformats.org/officeDocument/2006/relationships/hyperlink" Target="http://pic.twitter.com/1hKMHlGbpI" TargetMode="External"/><Relationship Id="rId2040" Type="http://schemas.openxmlformats.org/officeDocument/2006/relationships/hyperlink" Target="http://www.voxespana.es/" TargetMode="External"/><Relationship Id="rId664" Type="http://schemas.openxmlformats.org/officeDocument/2006/relationships/hyperlink" Target="http://instagram.com/fdavaloso" TargetMode="External"/><Relationship Id="rId871" Type="http://schemas.openxmlformats.org/officeDocument/2006/relationships/hyperlink" Target="http://laboratorio-mabuse.blogspot.com/" TargetMode="External"/><Relationship Id="rId969" Type="http://schemas.openxmlformats.org/officeDocument/2006/relationships/hyperlink" Target="https://www.voxespana.es/afiliarse-a-vox" TargetMode="External"/><Relationship Id="rId1599" Type="http://schemas.openxmlformats.org/officeDocument/2006/relationships/hyperlink" Target="http://www.policiah50.com/" TargetMode="External"/><Relationship Id="rId317" Type="http://schemas.openxmlformats.org/officeDocument/2006/relationships/hyperlink" Target="https://pbs.twimg.com/media/DsgwGuqU8AEeA9d.jpg" TargetMode="External"/><Relationship Id="rId524" Type="http://schemas.openxmlformats.org/officeDocument/2006/relationships/hyperlink" Target="https://www.eleconomista.es/economia/noticias/9527913/11/18/El-Registro-de-Galapagar-oculta-los-datos-de-la-casa-de-Iglesias-por-ser-noticiable.html" TargetMode="External"/><Relationship Id="rId731" Type="http://schemas.openxmlformats.org/officeDocument/2006/relationships/hyperlink" Target="https://twitter.com/santi_abascal/status/1064225700222246912" TargetMode="External"/><Relationship Id="rId1154" Type="http://schemas.openxmlformats.org/officeDocument/2006/relationships/hyperlink" Target="http://www.fac.es/" TargetMode="External"/><Relationship Id="rId1361" Type="http://schemas.openxmlformats.org/officeDocument/2006/relationships/hyperlink" Target="https://twitter.com/santryss/status/1063068460643741696" TargetMode="External"/><Relationship Id="rId1459" Type="http://schemas.openxmlformats.org/officeDocument/2006/relationships/hyperlink" Target="https://pbs.twimg.com/media/DsDNVimXQAIDa1o.jpg" TargetMode="External"/><Relationship Id="rId98" Type="http://schemas.openxmlformats.org/officeDocument/2006/relationships/hyperlink" Target="https://twitter.com/vox_es/status/1065598701849194496" TargetMode="External"/><Relationship Id="rId829" Type="http://schemas.openxmlformats.org/officeDocument/2006/relationships/hyperlink" Target="https://www.instagram.com/crisnpatience/" TargetMode="External"/><Relationship Id="rId1014" Type="http://schemas.openxmlformats.org/officeDocument/2006/relationships/hyperlink" Target="http://youtu.be/vCzgGgIgofk?a" TargetMode="External"/><Relationship Id="rId1221" Type="http://schemas.openxmlformats.org/officeDocument/2006/relationships/hyperlink" Target="https://www.libertaddigital.com/espana/2018-11-15/grosera-manipulacion-de-la-sexta-con-el-acto-de-vox-abascal-llego-a-amenazar-con-salir-1276628314/" TargetMode="External"/><Relationship Id="rId1666" Type="http://schemas.openxmlformats.org/officeDocument/2006/relationships/hyperlink" Target="https://pbs.twimg.com/media/Dr_gmGCXQAAUDU9.jpg" TargetMode="External"/><Relationship Id="rId1873" Type="http://schemas.openxmlformats.org/officeDocument/2006/relationships/hyperlink" Target="https://www.laopiniondemurcia.es/comunidad/2018/11/14/santiago-abascal-murcia-gran-pagana/971825.html" TargetMode="External"/><Relationship Id="rId1319" Type="http://schemas.openxmlformats.org/officeDocument/2006/relationships/hyperlink" Target="https://www.periodistadigital.com/periodismo/tv/2018/11/15/abascal-estalla-y-emite-un-demoledor-video-contra-ferreras-y-la-manipulacion-de-lasexta.shtml" TargetMode="External"/><Relationship Id="rId1526" Type="http://schemas.openxmlformats.org/officeDocument/2006/relationships/hyperlink" Target="http://pic.twitter.com/gPmWiA8n13" TargetMode="External"/><Relationship Id="rId1733" Type="http://schemas.openxmlformats.org/officeDocument/2006/relationships/hyperlink" Target="https://casoaislado.com/feministas-podemitas-amenazan-muerte-e-insultan-las-personas-acudido-al-acto-vox-murcia/" TargetMode="External"/><Relationship Id="rId1940" Type="http://schemas.openxmlformats.org/officeDocument/2006/relationships/hyperlink" Target="http://pic.twitter.com/uFwGLKCZXS" TargetMode="External"/><Relationship Id="rId25" Type="http://schemas.openxmlformats.org/officeDocument/2006/relationships/hyperlink" Target="https://www.abc.es/espana/abci-crece-alarma-pp-y-ciudadanos-subida-andalucia-201811230403_noticia.html" TargetMode="External"/><Relationship Id="rId1800" Type="http://schemas.openxmlformats.org/officeDocument/2006/relationships/hyperlink" Target="http://www.bitmomentum.com/" TargetMode="External"/><Relationship Id="rId174" Type="http://schemas.openxmlformats.org/officeDocument/2006/relationships/hyperlink" Target="http://pic.twitter.com/MPvTPmQVOf" TargetMode="External"/><Relationship Id="rId381" Type="http://schemas.openxmlformats.org/officeDocument/2006/relationships/hyperlink" Target="https://pbs.twimg.com/media/Dsety8kWsAA9vG-.jpg" TargetMode="External"/><Relationship Id="rId2062" Type="http://schemas.openxmlformats.org/officeDocument/2006/relationships/hyperlink" Target="http://pic.twitter.com/JFanO8CSYq" TargetMode="External"/><Relationship Id="rId241" Type="http://schemas.openxmlformats.org/officeDocument/2006/relationships/hyperlink" Target="https://pbs.twimg.com/media/DsSlWvHWkAAW_Mi.jpg" TargetMode="External"/><Relationship Id="rId479" Type="http://schemas.openxmlformats.org/officeDocument/2006/relationships/hyperlink" Target="https://youtu.be/RaSIX4-RPAI" TargetMode="External"/><Relationship Id="rId686" Type="http://schemas.openxmlformats.org/officeDocument/2006/relationships/hyperlink" Target="https://pbs.twimg.com/media/DsTvsIdWwAAKz25.jpg" TargetMode="External"/><Relationship Id="rId893" Type="http://schemas.openxmlformats.org/officeDocument/2006/relationships/hyperlink" Target="http://pic.twitter.com/b3VGzjEklH" TargetMode="External"/><Relationship Id="rId339" Type="http://schemas.openxmlformats.org/officeDocument/2006/relationships/hyperlink" Target="https://m.eldiario.es/politica/Santiago-Abascal-Andalucia-Infante-Andalus_0_837817468.html" TargetMode="External"/><Relationship Id="rId546" Type="http://schemas.openxmlformats.org/officeDocument/2006/relationships/hyperlink" Target="http://youtu.be/CzPw1AMoHaM?a" TargetMode="External"/><Relationship Id="rId753" Type="http://schemas.openxmlformats.org/officeDocument/2006/relationships/hyperlink" Target="http://pic.twitter.com/4x6JsiYdKE" TargetMode="External"/><Relationship Id="rId1176" Type="http://schemas.openxmlformats.org/officeDocument/2006/relationships/hyperlink" Target="https://pbs.twimg.com/media/DsHhfUyXQAAUyBR.jpg" TargetMode="External"/><Relationship Id="rId1383" Type="http://schemas.openxmlformats.org/officeDocument/2006/relationships/hyperlink" Target="https://www.periodistadigital.com/periodismo/tv/2018/11/15/abascal-estalla-y-emite-un-demoledor-video-contra-ferreras-y-la-manipulacion-de-lasexta.shtml" TargetMode="External"/><Relationship Id="rId101" Type="http://schemas.openxmlformats.org/officeDocument/2006/relationships/hyperlink" Target="http://www.voxespana.es/cordoba" TargetMode="External"/><Relationship Id="rId406" Type="http://schemas.openxmlformats.org/officeDocument/2006/relationships/hyperlink" Target="http://www.bitmomentum.com/" TargetMode="External"/><Relationship Id="rId960" Type="http://schemas.openxmlformats.org/officeDocument/2006/relationships/hyperlink" Target="https://twitter.com/claritasnail/status/1063757658228969472" TargetMode="External"/><Relationship Id="rId1036" Type="http://schemas.openxmlformats.org/officeDocument/2006/relationships/hyperlink" Target="http://pic.twitter.com/XtJVrlDSZR" TargetMode="External"/><Relationship Id="rId1243" Type="http://schemas.openxmlformats.org/officeDocument/2006/relationships/hyperlink" Target="https://pbs.twimg.com/media/DsGYuIvX4AIA102.jpg" TargetMode="External"/><Relationship Id="rId1590" Type="http://schemas.openxmlformats.org/officeDocument/2006/relationships/hyperlink" Target="https://twitter.com/pablofluiters/status/1062835985967407106" TargetMode="External"/><Relationship Id="rId1688" Type="http://schemas.openxmlformats.org/officeDocument/2006/relationships/hyperlink" Target="https://youtu.be/uc7nbZ5FRso" TargetMode="External"/><Relationship Id="rId1895" Type="http://schemas.openxmlformats.org/officeDocument/2006/relationships/hyperlink" Target="https://youtu.be/CzPw1AMoHaM" TargetMode="External"/><Relationship Id="rId613" Type="http://schemas.openxmlformats.org/officeDocument/2006/relationships/hyperlink" Target="https://pbs.twimg.com/media/DsXpTVGWoAE8QUb.jpg" TargetMode="External"/><Relationship Id="rId820" Type="http://schemas.openxmlformats.org/officeDocument/2006/relationships/hyperlink" Target="https://www.elplural.com/politica/un-cargo-del-pp-preside-la-seccion-juvenil-de-la-fundacion-de-santiago-abascal_206432102" TargetMode="External"/><Relationship Id="rId918" Type="http://schemas.openxmlformats.org/officeDocument/2006/relationships/hyperlink" Target="https://www.elespanol.com/espana/20181117/vox-quiere-coma-jamon-colegios-moleste-islamistas/353965001_0.html" TargetMode="External"/><Relationship Id="rId1450" Type="http://schemas.openxmlformats.org/officeDocument/2006/relationships/hyperlink" Target="http://www.casoaislado.com/" TargetMode="External"/><Relationship Id="rId1548" Type="http://schemas.openxmlformats.org/officeDocument/2006/relationships/hyperlink" Target="https://www.diaribalear.es/un-regidor-de-podemos-en-marratxi-llama-fascistas-a-los-vecinos-que-afirman-que-votaran-a-vox/" TargetMode="External"/><Relationship Id="rId1755" Type="http://schemas.openxmlformats.org/officeDocument/2006/relationships/hyperlink" Target="http://www.voxespana.es/" TargetMode="External"/><Relationship Id="rId1103" Type="http://schemas.openxmlformats.org/officeDocument/2006/relationships/hyperlink" Target="http://pic.twitter.com/C1DA2h9ayA" TargetMode="External"/><Relationship Id="rId1310" Type="http://schemas.openxmlformats.org/officeDocument/2006/relationships/hyperlink" Target="https://twitter.com/Jose_Ajero/status/1063163626675167238" TargetMode="External"/><Relationship Id="rId1408" Type="http://schemas.openxmlformats.org/officeDocument/2006/relationships/hyperlink" Target="http://www.bitmomentum.com/" TargetMode="External"/><Relationship Id="rId1962" Type="http://schemas.openxmlformats.org/officeDocument/2006/relationships/hyperlink" Target="https://pbs.twimg.com/media/Dr6MkD5XgAEhf5c.jpg" TargetMode="External"/><Relationship Id="rId47" Type="http://schemas.openxmlformats.org/officeDocument/2006/relationships/hyperlink" Target="http://www.outono.net/elentir/2018/11/23/tramposa-respuesta-del-pp-a-abascal-esto-no-va-de-uniformes-sino-de-libertad-de-ensenanza/" TargetMode="External"/><Relationship Id="rId1615" Type="http://schemas.openxmlformats.org/officeDocument/2006/relationships/hyperlink" Target="http://www.institutoatlanticodegobierno.org/" TargetMode="External"/><Relationship Id="rId1822" Type="http://schemas.openxmlformats.org/officeDocument/2006/relationships/hyperlink" Target="https://pbs.twimg.com/media/Dr9CuR9WkAE6O9u.jpg" TargetMode="External"/><Relationship Id="rId196" Type="http://schemas.openxmlformats.org/officeDocument/2006/relationships/hyperlink" Target="https://www.change.org/p/detengan-nuevas-construcciones-en-el-parque-natural-cabo-de-gata-detengan-nuevas-construcciones-en-el-parque-natural?recruiter=513399995" TargetMode="External"/><Relationship Id="rId263" Type="http://schemas.openxmlformats.org/officeDocument/2006/relationships/hyperlink" Target="https://twitter.com/Cerdam13Gm/status/1065292265759887360" TargetMode="External"/><Relationship Id="rId470" Type="http://schemas.openxmlformats.org/officeDocument/2006/relationships/hyperlink" Target="https://twitter.com/Rafa_Hernando/status/1064247667432333312" TargetMode="External"/><Relationship Id="rId123" Type="http://schemas.openxmlformats.org/officeDocument/2006/relationships/hyperlink" Target="https://elpais.com/elpais/2018/11/21/opinion/1542806031_921444.html" TargetMode="External"/><Relationship Id="rId330" Type="http://schemas.openxmlformats.org/officeDocument/2006/relationships/hyperlink" Target="https://twitter.com/joaquintorrevie/status/1064157230281474049" TargetMode="External"/><Relationship Id="rId568" Type="http://schemas.openxmlformats.org/officeDocument/2006/relationships/hyperlink" Target="http://www.aezkiaga.com/" TargetMode="External"/><Relationship Id="rId775" Type="http://schemas.openxmlformats.org/officeDocument/2006/relationships/hyperlink" Target="https://pbs.twimg.com/media/Dr6RS7yWkAEviHz.jpg" TargetMode="External"/><Relationship Id="rId982" Type="http://schemas.openxmlformats.org/officeDocument/2006/relationships/hyperlink" Target="https://pbs.twimg.com/media/DsMtOv6WsAAHcur.jpg" TargetMode="External"/><Relationship Id="rId1198" Type="http://schemas.openxmlformats.org/officeDocument/2006/relationships/hyperlink" Target="http://pic.twitter.com/PGP08n1lX9" TargetMode="External"/><Relationship Id="rId2011" Type="http://schemas.openxmlformats.org/officeDocument/2006/relationships/hyperlink" Target="https://www.diaribalear.es/" TargetMode="External"/><Relationship Id="rId428" Type="http://schemas.openxmlformats.org/officeDocument/2006/relationships/hyperlink" Target="http://pic.twitter.com/Bd1Cktkb1f" TargetMode="External"/><Relationship Id="rId635" Type="http://schemas.openxmlformats.org/officeDocument/2006/relationships/hyperlink" Target="https://www.instagram.com/p/BqXG_QZAsip/?utm_source=ig_share_sheet&amp;igshid=2e3wyxibl88f" TargetMode="External"/><Relationship Id="rId842" Type="http://schemas.openxmlformats.org/officeDocument/2006/relationships/hyperlink" Target="https://pbs.twimg.com/media/DsN2gNRXcAUO57Z.jpg" TargetMode="External"/><Relationship Id="rId1058" Type="http://schemas.openxmlformats.org/officeDocument/2006/relationships/hyperlink" Target="https://pbs.twimg.com/media/DsJtz_0WoAEA6OO.jpg" TargetMode="External"/><Relationship Id="rId1265" Type="http://schemas.openxmlformats.org/officeDocument/2006/relationships/hyperlink" Target="http://www.periodistadigital.tv/santi-abascal-vox-asi-manipula-lasextatv-de-ferreras-y-compinches_26ef78bf8.html" TargetMode="External"/><Relationship Id="rId1472" Type="http://schemas.openxmlformats.org/officeDocument/2006/relationships/hyperlink" Target="http://pic.twitter.com/NGetdFyfCM" TargetMode="External"/><Relationship Id="rId702" Type="http://schemas.openxmlformats.org/officeDocument/2006/relationships/hyperlink" Target="https://youtu.be/ROMeqNS5XKM" TargetMode="External"/><Relationship Id="rId1125" Type="http://schemas.openxmlformats.org/officeDocument/2006/relationships/hyperlink" Target="https://www.amazon.es/Jano-Garc%C3%ADa/e/B0755PWSXK/ref=dp_byline_cont_book_1" TargetMode="External"/><Relationship Id="rId1332" Type="http://schemas.openxmlformats.org/officeDocument/2006/relationships/hyperlink" Target="https://twitter.com/alonso_dm/status/1063077473959714816" TargetMode="External"/><Relationship Id="rId1777" Type="http://schemas.openxmlformats.org/officeDocument/2006/relationships/hyperlink" Target="https://twitter.com/JWulen/status/1062643211129241600" TargetMode="External"/><Relationship Id="rId1984" Type="http://schemas.openxmlformats.org/officeDocument/2006/relationships/hyperlink" Target="https://www.voxespana.es/afiliarse-a-vox" TargetMode="External"/><Relationship Id="rId69" Type="http://schemas.openxmlformats.org/officeDocument/2006/relationships/hyperlink" Target="https://pbs.twimg.com/media/Dsout8xVAAE5vtd.jpg" TargetMode="External"/><Relationship Id="rId1637" Type="http://schemas.openxmlformats.org/officeDocument/2006/relationships/hyperlink" Target="https://twitter.com/eldiariomurcia/status/1062789684991012864" TargetMode="External"/><Relationship Id="rId1844" Type="http://schemas.openxmlformats.org/officeDocument/2006/relationships/hyperlink" Target="https://pbs.twimg.com/media/Dr8eeBpXQAAfrD4.jpg" TargetMode="External"/><Relationship Id="rId1704" Type="http://schemas.openxmlformats.org/officeDocument/2006/relationships/hyperlink" Target="http://www.voxespa&#241;a.es/" TargetMode="External"/><Relationship Id="rId285" Type="http://schemas.openxmlformats.org/officeDocument/2006/relationships/hyperlink" Target="https://casoaislado.com/vox-avisa-defendera-cristianismo-ante-acoso-del-islam-perseguira/" TargetMode="External"/><Relationship Id="rId1911" Type="http://schemas.openxmlformats.org/officeDocument/2006/relationships/hyperlink" Target="https://goo.gl/AygpkN" TargetMode="External"/><Relationship Id="rId492" Type="http://schemas.openxmlformats.org/officeDocument/2006/relationships/hyperlink" Target="http://www.casoaislado.com/" TargetMode="External"/><Relationship Id="rId797" Type="http://schemas.openxmlformats.org/officeDocument/2006/relationships/hyperlink" Target="https://pbs.twimg.com/media/DsSLUTdWoAEs7Uc.jpg" TargetMode="External"/><Relationship Id="rId145" Type="http://schemas.openxmlformats.org/officeDocument/2006/relationships/hyperlink" Target="https://youtu.be/RaSIX4-RPAI" TargetMode="External"/><Relationship Id="rId352" Type="http://schemas.openxmlformats.org/officeDocument/2006/relationships/hyperlink" Target="https://www.instagram.com/lhgs35/" TargetMode="External"/><Relationship Id="rId1287" Type="http://schemas.openxmlformats.org/officeDocument/2006/relationships/hyperlink" Target="https://twitter.com/vox_es/status/1062873815246688256" TargetMode="External"/><Relationship Id="rId2033" Type="http://schemas.openxmlformats.org/officeDocument/2006/relationships/hyperlink" Target="https://twitter.com/JuanaLaLocaMsL1/status/1061937043939442688" TargetMode="External"/><Relationship Id="rId212" Type="http://schemas.openxmlformats.org/officeDocument/2006/relationships/hyperlink" Target="http://www.fac.es/" TargetMode="External"/><Relationship Id="rId657" Type="http://schemas.openxmlformats.org/officeDocument/2006/relationships/hyperlink" Target="https://twitter.com/voxnoticias_es/status/1064293464077144066" TargetMode="External"/><Relationship Id="rId864" Type="http://schemas.openxmlformats.org/officeDocument/2006/relationships/hyperlink" Target="https://www.laopiniondemurcia.es/nacional/2018/11/17/vox-defiende-comer-jamon-colegios/973055.html" TargetMode="External"/><Relationship Id="rId1494" Type="http://schemas.openxmlformats.org/officeDocument/2006/relationships/hyperlink" Target="https://pbs.twimg.com/media/Dr-ydKRXQAAH2Bi.jpg" TargetMode="External"/><Relationship Id="rId1799" Type="http://schemas.openxmlformats.org/officeDocument/2006/relationships/hyperlink" Target="http://www.bitmomentum.com/" TargetMode="External"/><Relationship Id="rId517" Type="http://schemas.openxmlformats.org/officeDocument/2006/relationships/hyperlink" Target="https://medium.com/@jiminasabad?source=linkShare-b8105ab58b93-1520935591" TargetMode="External"/><Relationship Id="rId724" Type="http://schemas.openxmlformats.org/officeDocument/2006/relationships/hyperlink" Target="http://elmetropolitanodemadrid.blogspot.com/2018/10/pablo-iglesias-nos-preparamos-para.html" TargetMode="External"/><Relationship Id="rId931" Type="http://schemas.openxmlformats.org/officeDocument/2006/relationships/hyperlink" Target="http://www.cope.es/" TargetMode="External"/><Relationship Id="rId1147" Type="http://schemas.openxmlformats.org/officeDocument/2006/relationships/hyperlink" Target="https://pbs.twimg.com/media/DsHpKRAX4AAogPn.jpg" TargetMode="External"/><Relationship Id="rId1354" Type="http://schemas.openxmlformats.org/officeDocument/2006/relationships/hyperlink" Target="https://pbs.twimg.com/media/DsBmwuqX4AE2nVS.jpg" TargetMode="External"/><Relationship Id="rId1561" Type="http://schemas.openxmlformats.org/officeDocument/2006/relationships/hyperlink" Target="https://www.libertaddigital.com/espana/2018-11-14/ultras-de-izquierda-boicotean-el-acto-de-vox-en-murcia-os-mataremos-como-en-paracuellos-1276628249/" TargetMode="External"/><Relationship Id="rId60" Type="http://schemas.openxmlformats.org/officeDocument/2006/relationships/hyperlink" Target="https://youtu.be/RaSIX4-RPAI" TargetMode="External"/><Relationship Id="rId1007" Type="http://schemas.openxmlformats.org/officeDocument/2006/relationships/hyperlink" Target="https://www.abc.es/play/television/noticias/abci-santiago-abascal-critica-manipulacion-lasexta-201811161107_noticia.html" TargetMode="External"/><Relationship Id="rId1214" Type="http://schemas.openxmlformats.org/officeDocument/2006/relationships/hyperlink" Target="https://www.diaribalear.es/" TargetMode="External"/><Relationship Id="rId1421" Type="http://schemas.openxmlformats.org/officeDocument/2006/relationships/hyperlink" Target="https://twitter.com/butacondelgarci/status/1063069820961374208" TargetMode="External"/><Relationship Id="rId1659" Type="http://schemas.openxmlformats.org/officeDocument/2006/relationships/hyperlink" Target="https://pbs.twimg.com/media/Dr_iOdbWsAAxYuG.jpg" TargetMode="External"/><Relationship Id="rId1866" Type="http://schemas.openxmlformats.org/officeDocument/2006/relationships/hyperlink" Target="http://www.bitmomentum.com/" TargetMode="External"/><Relationship Id="rId1519" Type="http://schemas.openxmlformats.org/officeDocument/2006/relationships/hyperlink" Target="http://pic.twitter.com/KEJ4CWltRa" TargetMode="External"/><Relationship Id="rId1726" Type="http://schemas.openxmlformats.org/officeDocument/2006/relationships/hyperlink" Target="https://pbs.twimg.com/media/Dr_CYXEXcAAC6Xg.jpg" TargetMode="External"/><Relationship Id="rId1933" Type="http://schemas.openxmlformats.org/officeDocument/2006/relationships/hyperlink" Target="https://twitter.com/jusapolbcn/status/1062459371903422464" TargetMode="External"/><Relationship Id="rId18" Type="http://schemas.openxmlformats.org/officeDocument/2006/relationships/hyperlink" Target="https://pbs.twimg.com/media/Dsoe-UFXgAUDegR.jpg" TargetMode="External"/><Relationship Id="rId167" Type="http://schemas.openxmlformats.org/officeDocument/2006/relationships/hyperlink" Target="https://pbs.twimg.com/media/Dsdo7VSWwAczNNK.jpg" TargetMode="External"/><Relationship Id="rId374" Type="http://schemas.openxmlformats.org/officeDocument/2006/relationships/hyperlink" Target="https://youtu.be/DS7bzbkwbRM" TargetMode="External"/><Relationship Id="rId581" Type="http://schemas.openxmlformats.org/officeDocument/2006/relationships/hyperlink" Target="https://pbs.twimg.com/media/DsYP7rEXcAIlvp_.jpg" TargetMode="External"/><Relationship Id="rId2055" Type="http://schemas.openxmlformats.org/officeDocument/2006/relationships/hyperlink" Target="https://www.facebook.com/MovimentRepublicaCatala/videos/309668293207018/" TargetMode="External"/><Relationship Id="rId234" Type="http://schemas.openxmlformats.org/officeDocument/2006/relationships/hyperlink" Target="http://www.voxespana.es/granada" TargetMode="External"/><Relationship Id="rId679" Type="http://schemas.openxmlformats.org/officeDocument/2006/relationships/hyperlink" Target="http://pic.twitter.com/IO29Oik2oN" TargetMode="External"/><Relationship Id="rId886" Type="http://schemas.openxmlformats.org/officeDocument/2006/relationships/hyperlink" Target="https://twitter.com/AzotePu/status/1063852449235120128" TargetMode="External"/><Relationship Id="rId2" Type="http://schemas.openxmlformats.org/officeDocument/2006/relationships/hyperlink" Target="https://pbs.twimg.com/media/DssW4zMW0AEX36k.jpg" TargetMode="External"/><Relationship Id="rId441" Type="http://schemas.openxmlformats.org/officeDocument/2006/relationships/hyperlink" Target="http://www.bitmomentum.com/" TargetMode="External"/><Relationship Id="rId539" Type="http://schemas.openxmlformats.org/officeDocument/2006/relationships/hyperlink" Target="http://ddjerez.info/bs7v51" TargetMode="External"/><Relationship Id="rId746" Type="http://schemas.openxmlformats.org/officeDocument/2006/relationships/hyperlink" Target="https://twitter.com/_okdario/status/1064142351558483971" TargetMode="External"/><Relationship Id="rId1071" Type="http://schemas.openxmlformats.org/officeDocument/2006/relationships/hyperlink" Target="http://www.voxespana.es/sevilla" TargetMode="External"/><Relationship Id="rId1169" Type="http://schemas.openxmlformats.org/officeDocument/2006/relationships/hyperlink" Target="http://www.jsmadrid.es/" TargetMode="External"/><Relationship Id="rId1376" Type="http://schemas.openxmlformats.org/officeDocument/2006/relationships/hyperlink" Target="https://www.laverdad.es/murcia/condenan-ocho-meses-20181115183940-nt.html" TargetMode="External"/><Relationship Id="rId1583" Type="http://schemas.openxmlformats.org/officeDocument/2006/relationships/hyperlink" Target="https://twitter.com/voxnoticias_es/status/1062832326722420736" TargetMode="External"/><Relationship Id="rId301" Type="http://schemas.openxmlformats.org/officeDocument/2006/relationships/hyperlink" Target="https://pbs.twimg.com/media/DshG_RRUcAARW40.jpg" TargetMode="External"/><Relationship Id="rId953" Type="http://schemas.openxmlformats.org/officeDocument/2006/relationships/hyperlink" Target="https://twitter.com/vox_es/status/1063756312025145344" TargetMode="External"/><Relationship Id="rId1029" Type="http://schemas.openxmlformats.org/officeDocument/2006/relationships/hyperlink" Target="http://www.voxespana.es/" TargetMode="External"/><Relationship Id="rId1236" Type="http://schemas.openxmlformats.org/officeDocument/2006/relationships/hyperlink" Target="https://www.diaribalear.es/" TargetMode="External"/><Relationship Id="rId1790" Type="http://schemas.openxmlformats.org/officeDocument/2006/relationships/hyperlink" Target="http://www.bitmomentum.com/" TargetMode="External"/><Relationship Id="rId1888" Type="http://schemas.openxmlformats.org/officeDocument/2006/relationships/hyperlink" Target="http://www.masportal.net/" TargetMode="External"/><Relationship Id="rId82" Type="http://schemas.openxmlformats.org/officeDocument/2006/relationships/hyperlink" Target="https://www.mediterraneodigital.com/espana/casa-real/el-senado-aprueba-condenar-el-franquismo-gracias-a-la-abstencion-del-pp.html" TargetMode="External"/><Relationship Id="rId606" Type="http://schemas.openxmlformats.org/officeDocument/2006/relationships/hyperlink" Target="https://twitter.com/DaniGimenez5/status/1064512700108218373" TargetMode="External"/><Relationship Id="rId813" Type="http://schemas.openxmlformats.org/officeDocument/2006/relationships/hyperlink" Target="https://twitter.com/mejoreszasca/status/1064091573498114049" TargetMode="External"/><Relationship Id="rId1443" Type="http://schemas.openxmlformats.org/officeDocument/2006/relationships/hyperlink" Target="https://twitter.com/alonso_dm/status/1063077473959714816" TargetMode="External"/><Relationship Id="rId1650" Type="http://schemas.openxmlformats.org/officeDocument/2006/relationships/hyperlink" Target="http://www.recasesores.com/" TargetMode="External"/><Relationship Id="rId1748" Type="http://schemas.openxmlformats.org/officeDocument/2006/relationships/hyperlink" Target="http://www.voxespana.es/" TargetMode="External"/><Relationship Id="rId1303" Type="http://schemas.openxmlformats.org/officeDocument/2006/relationships/hyperlink" Target="http://pic.twitter.com/1hKMHlGbpI" TargetMode="External"/><Relationship Id="rId1510" Type="http://schemas.openxmlformats.org/officeDocument/2006/relationships/hyperlink" Target="http://www.ikusle.com/video-vox-exige-a-los-medios-de-comunicacion-que-revelen-el-origen-de-los-delincuentes/" TargetMode="External"/><Relationship Id="rId1955" Type="http://schemas.openxmlformats.org/officeDocument/2006/relationships/hyperlink" Target="https://curiouscat.me/CabreraTechiCF/post/706271552?t=1542141651" TargetMode="External"/><Relationship Id="rId1608" Type="http://schemas.openxmlformats.org/officeDocument/2006/relationships/hyperlink" Target="https://twitter.com/vox_es/status/1062799090260557824" TargetMode="External"/><Relationship Id="rId1815" Type="http://schemas.openxmlformats.org/officeDocument/2006/relationships/hyperlink" Target="http://www.boringnicolas.com/" TargetMode="External"/><Relationship Id="rId189" Type="http://schemas.openxmlformats.org/officeDocument/2006/relationships/hyperlink" Target="https://pbs.twimg.com/media/DsiTVAgWkAENMbg.jpg" TargetMode="External"/><Relationship Id="rId396" Type="http://schemas.openxmlformats.org/officeDocument/2006/relationships/hyperlink" Target="https://pbs.twimg.com/media/DsejN6qWwAEjPch.jpg" TargetMode="External"/><Relationship Id="rId256" Type="http://schemas.openxmlformats.org/officeDocument/2006/relationships/hyperlink" Target="https://pbs.twimg.com/media/Dsi9a8bWsAAlp3E.jpg" TargetMode="External"/><Relationship Id="rId463" Type="http://schemas.openxmlformats.org/officeDocument/2006/relationships/hyperlink" Target="https://twitter.com/joosearodriguez/status/1064593289305825280" TargetMode="External"/><Relationship Id="rId670" Type="http://schemas.openxmlformats.org/officeDocument/2006/relationships/hyperlink" Target="https://www.facebook.com/josealberto.rodriguezarroyo.9" TargetMode="External"/><Relationship Id="rId1093" Type="http://schemas.openxmlformats.org/officeDocument/2006/relationships/hyperlink" Target="https://twitter.com/vox_es/status/1063464347303886848" TargetMode="External"/><Relationship Id="rId116" Type="http://schemas.openxmlformats.org/officeDocument/2006/relationships/hyperlink" Target="https://youtu.be/zjWSD1YYrQ8" TargetMode="External"/><Relationship Id="rId323" Type="http://schemas.openxmlformats.org/officeDocument/2006/relationships/hyperlink" Target="https://pbs.twimg.com/media/DshHTNvXQAE_-Cc.jpg" TargetMode="External"/><Relationship Id="rId530" Type="http://schemas.openxmlformats.org/officeDocument/2006/relationships/hyperlink" Target="http://www.diariodecadiz.es/" TargetMode="External"/><Relationship Id="rId768" Type="http://schemas.openxmlformats.org/officeDocument/2006/relationships/hyperlink" Target="http://pic.twitter.com/wPQVLTxNm8" TargetMode="External"/><Relationship Id="rId975" Type="http://schemas.openxmlformats.org/officeDocument/2006/relationships/hyperlink" Target="https://pbs.twimg.com/media/DsMyvjKXQAEeTmH.jpg" TargetMode="External"/><Relationship Id="rId1160" Type="http://schemas.openxmlformats.org/officeDocument/2006/relationships/hyperlink" Target="https://pbs.twimg.com/media/DsHu6m0WoAA0XWk.jpg" TargetMode="External"/><Relationship Id="rId1398" Type="http://schemas.openxmlformats.org/officeDocument/2006/relationships/hyperlink" Target="http://pic.twitter.com/d0BuXsVHYm" TargetMode="External"/><Relationship Id="rId2004" Type="http://schemas.openxmlformats.org/officeDocument/2006/relationships/hyperlink" Target="https://mixcloud.com/klubslang_musik/" TargetMode="External"/><Relationship Id="rId628" Type="http://schemas.openxmlformats.org/officeDocument/2006/relationships/hyperlink" Target="https://pbs.twimg.com/media/DsXOjbqXQAImZgv.jpg" TargetMode="External"/><Relationship Id="rId835" Type="http://schemas.openxmlformats.org/officeDocument/2006/relationships/hyperlink" Target="http://www.tabarnia.es/" TargetMode="External"/><Relationship Id="rId1258" Type="http://schemas.openxmlformats.org/officeDocument/2006/relationships/hyperlink" Target="http://www.bitmomentum.com/" TargetMode="External"/><Relationship Id="rId1465" Type="http://schemas.openxmlformats.org/officeDocument/2006/relationships/hyperlink" Target="http://www.bitmomentum.com/" TargetMode="External"/><Relationship Id="rId1672" Type="http://schemas.openxmlformats.org/officeDocument/2006/relationships/hyperlink" Target="https://twitter.com/vox_es/status/1062799090260557824" TargetMode="External"/><Relationship Id="rId1020" Type="http://schemas.openxmlformats.org/officeDocument/2006/relationships/hyperlink" Target="https://m.facebook.com/profile.php?id=1402370343348716" TargetMode="External"/><Relationship Id="rId1118" Type="http://schemas.openxmlformats.org/officeDocument/2006/relationships/hyperlink" Target="http://pic.twitter.com/AzWYHevL7X" TargetMode="External"/><Relationship Id="rId1325" Type="http://schemas.openxmlformats.org/officeDocument/2006/relationships/hyperlink" Target="https://pbs.twimg.com/media/DsEkOqZVsAA9THw.jpg" TargetMode="External"/><Relationship Id="rId1532" Type="http://schemas.openxmlformats.org/officeDocument/2006/relationships/hyperlink" Target="http://pic.twitter.com/1t91rIOiwL" TargetMode="External"/><Relationship Id="rId1977" Type="http://schemas.openxmlformats.org/officeDocument/2006/relationships/hyperlink" Target="https://www.elmundo.es/f5/comparte/2018/11/12/5be9beeb468aeb8e558b45b4.html" TargetMode="External"/><Relationship Id="rId902" Type="http://schemas.openxmlformats.org/officeDocument/2006/relationships/hyperlink" Target="https://pbs.twimg.com/media/DsN8ILgXcAcKM_T.jpg" TargetMode="External"/><Relationship Id="rId1837" Type="http://schemas.openxmlformats.org/officeDocument/2006/relationships/hyperlink" Target="https://okdiario.com/espana/2018/11/13/zasca-abascal-rufian-llamarle-senorito-andaluz-pregunta-casa-patan-3346680/amp" TargetMode="External"/><Relationship Id="rId31" Type="http://schemas.openxmlformats.org/officeDocument/2006/relationships/hyperlink" Target="https://pbs.twimg.com/media/DspHbgwXQAEQSa5.jpg" TargetMode="External"/><Relationship Id="rId180" Type="http://schemas.openxmlformats.org/officeDocument/2006/relationships/hyperlink" Target="https://www.facebook.com/Pamiesadas-566209957080160/" TargetMode="External"/><Relationship Id="rId278" Type="http://schemas.openxmlformats.org/officeDocument/2006/relationships/hyperlink" Target="http://pic.twitter.com/n03ukAGrhm" TargetMode="External"/><Relationship Id="rId1904" Type="http://schemas.openxmlformats.org/officeDocument/2006/relationships/hyperlink" Target="https://pbs.twimg.com/media/Dr7JpgaWoAAuEyb.jpg" TargetMode="External"/><Relationship Id="rId485" Type="http://schemas.openxmlformats.org/officeDocument/2006/relationships/hyperlink" Target="https://pbs.twimg.com/media/DscDStmWwAAKR18.jpg" TargetMode="External"/><Relationship Id="rId692" Type="http://schemas.openxmlformats.org/officeDocument/2006/relationships/hyperlink" Target="https://pbs.twimg.com/media/DsUYNlyXQAAI3o-.jpg" TargetMode="External"/><Relationship Id="rId138" Type="http://schemas.openxmlformats.org/officeDocument/2006/relationships/hyperlink" Target="http://fasesdelabolsa.net/" TargetMode="External"/><Relationship Id="rId345" Type="http://schemas.openxmlformats.org/officeDocument/2006/relationships/hyperlink" Target="https://pbs.twimg.com/media/DsgegU6XQAA4F7r.jpg" TargetMode="External"/><Relationship Id="rId552" Type="http://schemas.openxmlformats.org/officeDocument/2006/relationships/hyperlink" Target="https://pbs.twimg.com/media/DsZJLqqXoAAcM5C.jpg" TargetMode="External"/><Relationship Id="rId997" Type="http://schemas.openxmlformats.org/officeDocument/2006/relationships/hyperlink" Target="https://pbs.twimg.com/media/DsMdK4IWoAAHNTr.jpg" TargetMode="External"/><Relationship Id="rId1182" Type="http://schemas.openxmlformats.org/officeDocument/2006/relationships/hyperlink" Target="http://www.voxespana.es/guadalajara" TargetMode="External"/><Relationship Id="rId2026" Type="http://schemas.openxmlformats.org/officeDocument/2006/relationships/hyperlink" Target="https://pbs.twimg.com/media/Dr5HWCeX4AoSVHV.jpg" TargetMode="External"/><Relationship Id="rId205" Type="http://schemas.openxmlformats.org/officeDocument/2006/relationships/hyperlink" Target="http://www.bitmomentum.com/" TargetMode="External"/><Relationship Id="rId412" Type="http://schemas.openxmlformats.org/officeDocument/2006/relationships/hyperlink" Target="https://twitter.com/CabalManuel/status/1064981142925967366" TargetMode="External"/><Relationship Id="rId857" Type="http://schemas.openxmlformats.org/officeDocument/2006/relationships/hyperlink" Target="https://www.youtube.com/watch?v=nKuTX3MaDzg" TargetMode="External"/><Relationship Id="rId1042" Type="http://schemas.openxmlformats.org/officeDocument/2006/relationships/hyperlink" Target="https://www.amazon.es/Manual-del-perfecto-dejado-Cuentos/dp/8417284486/ref=as_li_ss_tl?ie=UTF8&amp;linkC" TargetMode="External"/><Relationship Id="rId1487" Type="http://schemas.openxmlformats.org/officeDocument/2006/relationships/hyperlink" Target="http://pic.twitter.com/iyEsOmJ0KJ" TargetMode="External"/><Relationship Id="rId1694" Type="http://schemas.openxmlformats.org/officeDocument/2006/relationships/hyperlink" Target="https://www.voxespana.es/albacete" TargetMode="External"/><Relationship Id="rId717" Type="http://schemas.openxmlformats.org/officeDocument/2006/relationships/hyperlink" Target="https://pbs.twimg.com/media/DsT_R79XQAE8jxM.jpg" TargetMode="External"/><Relationship Id="rId924" Type="http://schemas.openxmlformats.org/officeDocument/2006/relationships/hyperlink" Target="https://youtu.be/RaSIX4-RPAI" TargetMode="External"/><Relationship Id="rId1347" Type="http://schemas.openxmlformats.org/officeDocument/2006/relationships/hyperlink" Target="https://youtu.be/tFlUHGm5tsk" TargetMode="External"/><Relationship Id="rId1554" Type="http://schemas.openxmlformats.org/officeDocument/2006/relationships/hyperlink" Target="http://trendinalia.com/twitter-trending-topics/spain/" TargetMode="External"/><Relationship Id="rId1761" Type="http://schemas.openxmlformats.org/officeDocument/2006/relationships/hyperlink" Target="https://radiosick.com/" TargetMode="External"/><Relationship Id="rId1999" Type="http://schemas.openxmlformats.org/officeDocument/2006/relationships/hyperlink" Target="http://ramonmaceiras.blogspot.com/" TargetMode="External"/><Relationship Id="rId53" Type="http://schemas.openxmlformats.org/officeDocument/2006/relationships/hyperlink" Target="https://pbs.twimg.com/media/DspTw2RVsAA2AGH.jpg" TargetMode="External"/><Relationship Id="rId1207" Type="http://schemas.openxmlformats.org/officeDocument/2006/relationships/hyperlink" Target="https://www.periodistadigital.com/periodismo/tv/2018/11/15/abascal-estalla-y-emite-un-demoledor-video-contra-ferreras-y-la-manipulacion-de-lasexta.shtml" TargetMode="External"/><Relationship Id="rId1414" Type="http://schemas.openxmlformats.org/officeDocument/2006/relationships/hyperlink" Target="https://www.voxespana.es/" TargetMode="External"/><Relationship Id="rId1621" Type="http://schemas.openxmlformats.org/officeDocument/2006/relationships/hyperlink" Target="https://www.laopiniondemurcia.es/comunidad/2018/11/14/santiago-abascal-murcia-gran-pagana/971825.html" TargetMode="External"/><Relationship Id="rId1859" Type="http://schemas.openxmlformats.org/officeDocument/2006/relationships/hyperlink" Target="http://www.voxespana.es/alicante" TargetMode="External"/><Relationship Id="rId1719" Type="http://schemas.openxmlformats.org/officeDocument/2006/relationships/hyperlink" Target="http://www.voxespana.es/" TargetMode="External"/><Relationship Id="rId1926" Type="http://schemas.openxmlformats.org/officeDocument/2006/relationships/hyperlink" Target="http://pic.twitter.com/6eu1gRakmY" TargetMode="External"/><Relationship Id="rId367" Type="http://schemas.openxmlformats.org/officeDocument/2006/relationships/hyperlink" Target="https://twitter.com/vox_es/status/1064966157189435392" TargetMode="External"/><Relationship Id="rId574" Type="http://schemas.openxmlformats.org/officeDocument/2006/relationships/hyperlink" Target="https://pbs.twimg.com/media/DsYejcGWoAA1FNJ.jpg" TargetMode="External"/><Relationship Id="rId2048" Type="http://schemas.openxmlformats.org/officeDocument/2006/relationships/hyperlink" Target="http://www.cope.es/programas/fin-de-semana" TargetMode="External"/><Relationship Id="rId227" Type="http://schemas.openxmlformats.org/officeDocument/2006/relationships/hyperlink" Target="http://www.bitmomentum.com/" TargetMode="External"/><Relationship Id="rId781" Type="http://schemas.openxmlformats.org/officeDocument/2006/relationships/hyperlink" Target="http://dlvr.it/QrWnQN" TargetMode="External"/><Relationship Id="rId879" Type="http://schemas.openxmlformats.org/officeDocument/2006/relationships/hyperlink" Target="https://www.libertaddigital.com/espana/2018-11-17/casado-tira-de-firmeza-y-el-pp-teme-el-avance-de-vox-1276628403/" TargetMode="External"/><Relationship Id="rId434" Type="http://schemas.openxmlformats.org/officeDocument/2006/relationships/hyperlink" Target="https://youtu.be/rT12WH4a92w" TargetMode="External"/><Relationship Id="rId641" Type="http://schemas.openxmlformats.org/officeDocument/2006/relationships/hyperlink" Target="https://youtu.be/RaSIX4-RPAI" TargetMode="External"/><Relationship Id="rId739" Type="http://schemas.openxmlformats.org/officeDocument/2006/relationships/hyperlink" Target="https://pbs.twimg.com/media/DsTOpewW0AAA0ZP.jpg" TargetMode="External"/><Relationship Id="rId1064" Type="http://schemas.openxmlformats.org/officeDocument/2006/relationships/hyperlink" Target="https://twitter.com/VoxAlemania/status/1063523024954101760" TargetMode="External"/><Relationship Id="rId1271" Type="http://schemas.openxmlformats.org/officeDocument/2006/relationships/hyperlink" Target="http://pic.twitter.com/1hKMHlGbpI" TargetMode="External"/><Relationship Id="rId1369" Type="http://schemas.openxmlformats.org/officeDocument/2006/relationships/hyperlink" Target="https://twitter.com/eljueves/status/1063023450049208320" TargetMode="External"/><Relationship Id="rId1576" Type="http://schemas.openxmlformats.org/officeDocument/2006/relationships/hyperlink" Target="https://twitter.com/vox_es/status/1062873815246688256" TargetMode="External"/><Relationship Id="rId501" Type="http://schemas.openxmlformats.org/officeDocument/2006/relationships/hyperlink" Target="http://www.dimonisrafolins.com/" TargetMode="External"/><Relationship Id="rId946" Type="http://schemas.openxmlformats.org/officeDocument/2006/relationships/hyperlink" Target="https://pbs.twimg.com/media/DsNVm57WkAABE0p.jpg" TargetMode="External"/><Relationship Id="rId1131" Type="http://schemas.openxmlformats.org/officeDocument/2006/relationships/hyperlink" Target="https://pbs.twimg.com/media/DsILUWHX4AA2WDm.jpg" TargetMode="External"/><Relationship Id="rId1229" Type="http://schemas.openxmlformats.org/officeDocument/2006/relationships/hyperlink" Target="http://trendinalia.com/twitter-trending-topics/spain/" TargetMode="External"/><Relationship Id="rId1783" Type="http://schemas.openxmlformats.org/officeDocument/2006/relationships/hyperlink" Target="http://www.voxespana.es/" TargetMode="External"/><Relationship Id="rId1990" Type="http://schemas.openxmlformats.org/officeDocument/2006/relationships/hyperlink" Target="https://finofilipino.org/post/180076036453" TargetMode="External"/><Relationship Id="rId75" Type="http://schemas.openxmlformats.org/officeDocument/2006/relationships/hyperlink" Target="https://pbs.twimg.com/media/Dsod48iWwAAb4zV.jpg" TargetMode="External"/><Relationship Id="rId806" Type="http://schemas.openxmlformats.org/officeDocument/2006/relationships/hyperlink" Target="http://pic.twitter.com/12Ff5I0yGh" TargetMode="External"/><Relationship Id="rId1436" Type="http://schemas.openxmlformats.org/officeDocument/2006/relationships/hyperlink" Target="https://twitter.com/alonso_dm/status/1063061372873908225" TargetMode="External"/><Relationship Id="rId1643" Type="http://schemas.openxmlformats.org/officeDocument/2006/relationships/hyperlink" Target="http://www.voxespana.es/" TargetMode="External"/><Relationship Id="rId1850" Type="http://schemas.openxmlformats.org/officeDocument/2006/relationships/hyperlink" Target="http://www.teepublic.com/user/daparacami" TargetMode="External"/><Relationship Id="rId1503" Type="http://schemas.openxmlformats.org/officeDocument/2006/relationships/hyperlink" Target="https://pbs.twimg.com/media/DsClpXXWoAAR5sI.jpg" TargetMode="External"/><Relationship Id="rId1710" Type="http://schemas.openxmlformats.org/officeDocument/2006/relationships/hyperlink" Target="http://www.voxespana.es/" TargetMode="External"/><Relationship Id="rId1948" Type="http://schemas.openxmlformats.org/officeDocument/2006/relationships/hyperlink" Target="https://pbs.twimg.com/media/Dr6VblQXgAE4gvX.jpg" TargetMode="External"/><Relationship Id="rId291" Type="http://schemas.openxmlformats.org/officeDocument/2006/relationships/hyperlink" Target="https://pbs.twimg.com/media/DsiHvMqWoAA5_aD.jpg" TargetMode="External"/><Relationship Id="rId1808" Type="http://schemas.openxmlformats.org/officeDocument/2006/relationships/hyperlink" Target="https://bit.ly/2zbikyw" TargetMode="External"/><Relationship Id="rId151" Type="http://schemas.openxmlformats.org/officeDocument/2006/relationships/hyperlink" Target="http://ow.ly/hVkR30mIa96" TargetMode="External"/><Relationship Id="rId389" Type="http://schemas.openxmlformats.org/officeDocument/2006/relationships/hyperlink" Target="https://pbs.twimg.com/media/Dseb3ywUUAA7Nkc.jpg" TargetMode="External"/><Relationship Id="rId596" Type="http://schemas.openxmlformats.org/officeDocument/2006/relationships/hyperlink" Target="https://pbs.twimg.com/media/DsX6Z50X4AAqVqN.jpg" TargetMode="External"/><Relationship Id="rId249" Type="http://schemas.openxmlformats.org/officeDocument/2006/relationships/hyperlink" Target="http://www.fac.es/" TargetMode="External"/><Relationship Id="rId456" Type="http://schemas.openxmlformats.org/officeDocument/2006/relationships/hyperlink" Target="http://pic.twitter.com/u9Spg6cMDH" TargetMode="External"/><Relationship Id="rId663" Type="http://schemas.openxmlformats.org/officeDocument/2006/relationships/hyperlink" Target="https://pbs.twimg.com/media/DsWTNJSWoAIcTs3.jpg" TargetMode="External"/><Relationship Id="rId870" Type="http://schemas.openxmlformats.org/officeDocument/2006/relationships/hyperlink" Target="https://pbs.twimg.com/media/DsOfsBCWwAEhY1_.jpg" TargetMode="External"/><Relationship Id="rId1086" Type="http://schemas.openxmlformats.org/officeDocument/2006/relationships/hyperlink" Target="https://youtu.be/RaSIX4-RPAI" TargetMode="External"/><Relationship Id="rId1293" Type="http://schemas.openxmlformats.org/officeDocument/2006/relationships/hyperlink" Target="https://twitter.com/Santi_ABASCAL/status/1063066152648228866" TargetMode="External"/><Relationship Id="rId109" Type="http://schemas.openxmlformats.org/officeDocument/2006/relationships/hyperlink" Target="https://pbs.twimg.com/media/DsnTWYUXcAA42CS.png" TargetMode="External"/><Relationship Id="rId316" Type="http://schemas.openxmlformats.org/officeDocument/2006/relationships/hyperlink" Target="http://www.dimonisrafolins.com/" TargetMode="External"/><Relationship Id="rId523" Type="http://schemas.openxmlformats.org/officeDocument/2006/relationships/hyperlink" Target="http://jpombo.es/" TargetMode="External"/><Relationship Id="rId968" Type="http://schemas.openxmlformats.org/officeDocument/2006/relationships/hyperlink" Target="https://pbs.twimg.com/media/DsM3QniXQAAhWu9.jpg" TargetMode="External"/><Relationship Id="rId1153" Type="http://schemas.openxmlformats.org/officeDocument/2006/relationships/hyperlink" Target="https://pbs.twimg.com/media/DsH4ZUrX4AIwovk.jpg" TargetMode="External"/><Relationship Id="rId1598" Type="http://schemas.openxmlformats.org/officeDocument/2006/relationships/hyperlink" Target="https://www.policiah50.com/cargas-policiales-en-murcia/" TargetMode="External"/><Relationship Id="rId97" Type="http://schemas.openxmlformats.org/officeDocument/2006/relationships/hyperlink" Target="http://www.flickr.com/photos/maduroman/" TargetMode="External"/><Relationship Id="rId730" Type="http://schemas.openxmlformats.org/officeDocument/2006/relationships/hyperlink" Target="http://www.institutoatlanticodegobierno.org/" TargetMode="External"/><Relationship Id="rId828" Type="http://schemas.openxmlformats.org/officeDocument/2006/relationships/hyperlink" Target="http://youtu.be/CzPw1AMoHaM?a" TargetMode="External"/><Relationship Id="rId1013" Type="http://schemas.openxmlformats.org/officeDocument/2006/relationships/hyperlink" Target="http://www.bitmomentum.com/" TargetMode="External"/><Relationship Id="rId1360" Type="http://schemas.openxmlformats.org/officeDocument/2006/relationships/hyperlink" Target="https://www.periodistadigital.com/periodismo/tv/2018/11/15/abascal-estalla-y-emite-un-demoledor-video-contra-ferreras-y-la-manipulacion-de-lasexta.shtml?fbclid=IwAR3x1ChpVkknzASukSJvojgXISef-0kfmkwQnJ5amqApmp-_Fa77Wz2wQBs" TargetMode="External"/><Relationship Id="rId1458" Type="http://schemas.openxmlformats.org/officeDocument/2006/relationships/hyperlink" Target="http://pic.twitter.com/1hKMHlGbpI" TargetMode="External"/><Relationship Id="rId1665" Type="http://schemas.openxmlformats.org/officeDocument/2006/relationships/hyperlink" Target="http://www.aloeforever.info/" TargetMode="External"/><Relationship Id="rId1872" Type="http://schemas.openxmlformats.org/officeDocument/2006/relationships/hyperlink" Target="http://www.voxespana.es/jaen" TargetMode="External"/><Relationship Id="rId1220" Type="http://schemas.openxmlformats.org/officeDocument/2006/relationships/hyperlink" Target="http://pasionxespa&#241;a.es/" TargetMode="External"/><Relationship Id="rId1318" Type="http://schemas.openxmlformats.org/officeDocument/2006/relationships/hyperlink" Target="http://hackdosx.blogspot.com/" TargetMode="External"/><Relationship Id="rId1525" Type="http://schemas.openxmlformats.org/officeDocument/2006/relationships/hyperlink" Target="https://www.facebook.com/Dando-un-Mazazo-961983367274605/" TargetMode="External"/><Relationship Id="rId1732" Type="http://schemas.openxmlformats.org/officeDocument/2006/relationships/hyperlink" Target="https://www.diaribalear.es/" TargetMode="External"/><Relationship Id="rId24" Type="http://schemas.openxmlformats.org/officeDocument/2006/relationships/hyperlink" Target="https://youtu.be/ROMeqNS5XKM" TargetMode="External"/><Relationship Id="rId173" Type="http://schemas.openxmlformats.org/officeDocument/2006/relationships/hyperlink" Target="http://www.bitmomentum.com/" TargetMode="External"/><Relationship Id="rId380" Type="http://schemas.openxmlformats.org/officeDocument/2006/relationships/hyperlink" Target="http://www.voxespana.es/guadalajara" TargetMode="External"/><Relationship Id="rId2061" Type="http://schemas.openxmlformats.org/officeDocument/2006/relationships/hyperlink" Target="http://www.trecetv.es/video/?videoId=e-37831" TargetMode="External"/><Relationship Id="rId240" Type="http://schemas.openxmlformats.org/officeDocument/2006/relationships/hyperlink" Target="https://twitter.com/joaquintorrevie/status/1064157230281474049" TargetMode="External"/><Relationship Id="rId478" Type="http://schemas.openxmlformats.org/officeDocument/2006/relationships/hyperlink" Target="https://pbs.twimg.com/media/DscQFISWsAAlW7y.jpg" TargetMode="External"/><Relationship Id="rId685" Type="http://schemas.openxmlformats.org/officeDocument/2006/relationships/hyperlink" Target="https://twitter.com/davidbroncano/status/1064238968697487362" TargetMode="External"/><Relationship Id="rId892" Type="http://schemas.openxmlformats.org/officeDocument/2006/relationships/hyperlink" Target="https://twitter.com/Santi_ABASCAL/status/1063817852459847680" TargetMode="External"/><Relationship Id="rId100" Type="http://schemas.openxmlformats.org/officeDocument/2006/relationships/hyperlink" Target="https://pbs.twimg.com/media/DsnhMBiXoAAKH_3.jpg" TargetMode="External"/><Relationship Id="rId338" Type="http://schemas.openxmlformats.org/officeDocument/2006/relationships/hyperlink" Target="https://www.instagram.com/p/BqagdhZgnoZ/?utm_source=ig_share_sheet&amp;igshid=vnlj3xfa00n4" TargetMode="External"/><Relationship Id="rId545" Type="http://schemas.openxmlformats.org/officeDocument/2006/relationships/hyperlink" Target="https://pbs.twimg.com/media/DsZVtvLWsAI7V8B.jpg" TargetMode="External"/><Relationship Id="rId752" Type="http://schemas.openxmlformats.org/officeDocument/2006/relationships/hyperlink" Target="https://okdiario.com/espana/cataluna/2018/11/18/puigdemont-aplaude-idea-otegi-unir-separatistas-vascos-catalanes-gallegos-sola-lista-3363938" TargetMode="External"/><Relationship Id="rId1175" Type="http://schemas.openxmlformats.org/officeDocument/2006/relationships/hyperlink" Target="http://laboratorio-mabuse.blogspot.com/" TargetMode="External"/><Relationship Id="rId1382" Type="http://schemas.openxmlformats.org/officeDocument/2006/relationships/hyperlink" Target="http://confidencialandaluz.com/author/sanchezfornet/" TargetMode="External"/><Relationship Id="rId2019" Type="http://schemas.openxmlformats.org/officeDocument/2006/relationships/hyperlink" Target="https://youtu.be/LmQ_3WODKOU" TargetMode="External"/><Relationship Id="rId405" Type="http://schemas.openxmlformats.org/officeDocument/2006/relationships/hyperlink" Target="https://www.voxespana.es/afiliarse-a-vox" TargetMode="External"/><Relationship Id="rId612" Type="http://schemas.openxmlformats.org/officeDocument/2006/relationships/hyperlink" Target="https://www.voxespana.es/campana-electoral-andaluzas" TargetMode="External"/><Relationship Id="rId1035" Type="http://schemas.openxmlformats.org/officeDocument/2006/relationships/hyperlink" Target="https://twitter.com/alonso_dm/status/1063560258088513539" TargetMode="External"/><Relationship Id="rId1242" Type="http://schemas.openxmlformats.org/officeDocument/2006/relationships/hyperlink" Target="https://pbs.twimg.com/media/DsGZL_yXgAExUEj.jpg" TargetMode="External"/><Relationship Id="rId1687" Type="http://schemas.openxmlformats.org/officeDocument/2006/relationships/hyperlink" Target="https://pbs.twimg.com/media/Dr_WYIZXcAEJc2W.jpg" TargetMode="External"/><Relationship Id="rId1894" Type="http://schemas.openxmlformats.org/officeDocument/2006/relationships/hyperlink" Target="http://www.bitmomentum.com/" TargetMode="External"/><Relationship Id="rId917" Type="http://schemas.openxmlformats.org/officeDocument/2006/relationships/hyperlink" Target="https://youtu.be/RaSIX4-RPAI" TargetMode="External"/><Relationship Id="rId1102" Type="http://schemas.openxmlformats.org/officeDocument/2006/relationships/hyperlink" Target="http://www.voxespana.es/cordoba" TargetMode="External"/><Relationship Id="rId1547" Type="http://schemas.openxmlformats.org/officeDocument/2006/relationships/hyperlink" Target="http://www.victorsanchezdelreal.com/" TargetMode="External"/><Relationship Id="rId1754" Type="http://schemas.openxmlformats.org/officeDocument/2006/relationships/hyperlink" Target="https://pbs.twimg.com/media/Dr-xTXpX4AI3kIN.jpg" TargetMode="External"/><Relationship Id="rId1961" Type="http://schemas.openxmlformats.org/officeDocument/2006/relationships/hyperlink" Target="https://youtu.be/RaSIX4-RP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808"/>
  <sheetViews>
    <sheetView tabSelected="1" workbookViewId="0">
      <pane ySplit="2" topLeftCell="A1785" activePane="bottomLeft" state="frozen"/>
      <selection sqref="A1:K1"/>
      <selection pane="bottomLeft" activeCell="D2" sqref="D1:D1048576"/>
    </sheetView>
  </sheetViews>
  <sheetFormatPr defaultColWidth="14.44140625" defaultRowHeight="15.75" customHeight="1"/>
  <cols>
    <col min="1" max="1" width="15.33203125" customWidth="1"/>
    <col min="3" max="3" width="16.33203125" customWidth="1"/>
    <col min="4" max="4" width="41.5546875" customWidth="1"/>
    <col min="5" max="5" width="17.6640625" customWidth="1"/>
    <col min="6" max="11" width="16.109375" customWidth="1"/>
    <col min="12" max="16" width="11.109375" customWidth="1"/>
    <col min="18" max="18" width="34.33203125" customWidth="1"/>
    <col min="19" max="19" width="19.6640625" customWidth="1"/>
    <col min="20" max="21" width="12" customWidth="1"/>
  </cols>
  <sheetData>
    <row r="1" spans="1:21" ht="25.5" customHeight="1">
      <c r="A1" s="29" t="s">
        <v>22</v>
      </c>
      <c r="B1" s="30"/>
      <c r="C1" s="30"/>
      <c r="D1" s="30"/>
      <c r="E1" s="30"/>
      <c r="F1" s="30"/>
      <c r="G1" s="30"/>
      <c r="H1" s="30"/>
      <c r="I1" s="30"/>
      <c r="J1" s="30"/>
      <c r="K1" s="30"/>
      <c r="L1" s="31" t="s">
        <v>1</v>
      </c>
      <c r="M1" s="30"/>
      <c r="N1" s="30"/>
      <c r="O1" s="30"/>
      <c r="P1" s="30"/>
      <c r="Q1" s="30"/>
      <c r="R1" s="30"/>
      <c r="S1" s="30"/>
      <c r="T1" s="30"/>
      <c r="U1" s="30"/>
    </row>
    <row r="2" spans="1:21" ht="29.25" customHeight="1">
      <c r="A2" s="1" t="s">
        <v>0</v>
      </c>
      <c r="B2" s="2" t="s">
        <v>2</v>
      </c>
      <c r="C2" s="2" t="s">
        <v>3</v>
      </c>
      <c r="D2" s="3" t="s">
        <v>4</v>
      </c>
      <c r="E2" s="4" t="s">
        <v>5</v>
      </c>
      <c r="F2" s="4" t="s">
        <v>6</v>
      </c>
      <c r="G2" s="4" t="s">
        <v>7</v>
      </c>
      <c r="H2" s="4" t="s">
        <v>8</v>
      </c>
      <c r="I2" s="2" t="s">
        <v>9</v>
      </c>
      <c r="J2" s="2" t="s">
        <v>10</v>
      </c>
      <c r="K2" s="4" t="s">
        <v>11</v>
      </c>
      <c r="L2" s="2" t="s">
        <v>12</v>
      </c>
      <c r="M2" s="2" t="s">
        <v>13</v>
      </c>
      <c r="N2" s="4" t="s">
        <v>14</v>
      </c>
      <c r="O2" s="4" t="s">
        <v>15</v>
      </c>
      <c r="P2" s="4" t="s">
        <v>16</v>
      </c>
      <c r="Q2" s="4" t="s">
        <v>8</v>
      </c>
      <c r="R2" s="5" t="s">
        <v>17</v>
      </c>
      <c r="S2" s="4" t="s">
        <v>18</v>
      </c>
      <c r="T2" s="4" t="s">
        <v>19</v>
      </c>
      <c r="U2" s="4" t="s">
        <v>20</v>
      </c>
    </row>
    <row r="3" spans="1:21" ht="61.2">
      <c r="A3" s="6">
        <v>43427.667314814811</v>
      </c>
      <c r="B3" s="7" t="str">
        <f>HYPERLINK("https://twitter.com/UlisesGamez10","@UlisesGamez10")</f>
        <v>@UlisesGamez10</v>
      </c>
      <c r="C3" s="8" t="s">
        <v>23</v>
      </c>
      <c r="D3" s="9" t="s">
        <v>24</v>
      </c>
      <c r="E3" s="10" t="str">
        <f>HYPERLINK("https://twitter.com/UlisesGamez10/status/1065983543812284421","1065983543812284421")</f>
        <v>1065983543812284421</v>
      </c>
      <c r="F3" s="12"/>
      <c r="G3" s="12"/>
      <c r="H3" s="12"/>
      <c r="I3" s="13">
        <v>0</v>
      </c>
      <c r="J3" s="13">
        <v>0</v>
      </c>
      <c r="K3" s="14" t="str">
        <f t="shared" ref="K3:K4" si="0">HYPERLINK("http://twitter.com/download/android","Twitter for Android")</f>
        <v>Twitter for Android</v>
      </c>
      <c r="L3" s="13">
        <v>1162</v>
      </c>
      <c r="M3" s="13">
        <v>5000</v>
      </c>
      <c r="N3" s="13">
        <v>0</v>
      </c>
      <c r="O3" s="15"/>
      <c r="P3" s="6">
        <v>43190.59783564815</v>
      </c>
      <c r="Q3" s="16" t="s">
        <v>25</v>
      </c>
      <c r="R3" s="17" t="s">
        <v>27</v>
      </c>
      <c r="S3" s="12"/>
      <c r="T3" s="12"/>
      <c r="U3" s="10" t="str">
        <f>HYPERLINK("https://pbs.twimg.com/profile_images/1031158722586980352/ItGPtjBj.jpg","View")</f>
        <v>View</v>
      </c>
    </row>
    <row r="4" spans="1:21" ht="40.799999999999997">
      <c r="A4" s="6">
        <v>43427.665821759263</v>
      </c>
      <c r="B4" s="7" t="str">
        <f>HYPERLINK("https://twitter.com/danierdecai31","@danierdecai31")</f>
        <v>@danierdecai31</v>
      </c>
      <c r="C4" s="8" t="s">
        <v>28</v>
      </c>
      <c r="D4" s="9" t="s">
        <v>29</v>
      </c>
      <c r="E4" s="10" t="str">
        <f>HYPERLINK("https://twitter.com/danierdecai31/status/1065983001551650816","1065983001551650816")</f>
        <v>1065983001551650816</v>
      </c>
      <c r="F4" s="11" t="s">
        <v>30</v>
      </c>
      <c r="G4" s="11" t="s">
        <v>31</v>
      </c>
      <c r="H4" s="12"/>
      <c r="I4" s="13">
        <v>1</v>
      </c>
      <c r="J4" s="13">
        <v>6</v>
      </c>
      <c r="K4" s="14" t="str">
        <f t="shared" si="0"/>
        <v>Twitter for Android</v>
      </c>
      <c r="L4" s="13">
        <v>9012</v>
      </c>
      <c r="M4" s="13">
        <v>3485</v>
      </c>
      <c r="N4" s="13">
        <v>14</v>
      </c>
      <c r="O4" s="15"/>
      <c r="P4" s="6">
        <v>43403.647685185184</v>
      </c>
      <c r="Q4" s="16" t="s">
        <v>32</v>
      </c>
      <c r="R4" s="17" t="s">
        <v>33</v>
      </c>
      <c r="S4" s="12"/>
      <c r="T4" s="12"/>
      <c r="U4" s="10" t="str">
        <f>HYPERLINK("https://pbs.twimg.com/profile_images/1057281830297182208/9mTqQWgW.jpg","View")</f>
        <v>View</v>
      </c>
    </row>
    <row r="5" spans="1:21" ht="30.6">
      <c r="A5" s="6">
        <v>43427.658287037033</v>
      </c>
      <c r="B5" s="7" t="str">
        <f>HYPERLINK("https://twitter.com/CHAPYBORDAS","@CHAPYBORDAS")</f>
        <v>@CHAPYBORDAS</v>
      </c>
      <c r="C5" s="8" t="s">
        <v>35</v>
      </c>
      <c r="D5" s="9" t="s">
        <v>36</v>
      </c>
      <c r="E5" s="10" t="str">
        <f>HYPERLINK("https://twitter.com/CHAPYBORDAS/status/1065980271114235904","1065980271114235904")</f>
        <v>1065980271114235904</v>
      </c>
      <c r="F5" s="11" t="s">
        <v>37</v>
      </c>
      <c r="G5" s="12"/>
      <c r="H5" s="12"/>
      <c r="I5" s="13">
        <v>2</v>
      </c>
      <c r="J5" s="13">
        <v>2</v>
      </c>
      <c r="K5" s="14" t="str">
        <f>HYPERLINK("http://twitter.com/download/iphone","Twitter for iPhone")</f>
        <v>Twitter for iPhone</v>
      </c>
      <c r="L5" s="13">
        <v>1085</v>
      </c>
      <c r="M5" s="13">
        <v>1040</v>
      </c>
      <c r="N5" s="13">
        <v>18</v>
      </c>
      <c r="O5" s="15"/>
      <c r="P5" s="6">
        <v>40652.74486111111</v>
      </c>
      <c r="Q5" s="16" t="s">
        <v>38</v>
      </c>
      <c r="R5" s="17" t="s">
        <v>39</v>
      </c>
      <c r="S5" s="12"/>
      <c r="T5" s="12"/>
      <c r="U5" s="10" t="str">
        <f>HYPERLINK("https://pbs.twimg.com/profile_images/827069527322193921/J8so9_7b.jpg","View")</f>
        <v>View</v>
      </c>
    </row>
    <row r="6" spans="1:21" ht="20.399999999999999">
      <c r="A6" s="6">
        <v>43427.650995370372</v>
      </c>
      <c r="B6" s="7" t="str">
        <f>HYPERLINK("https://twitter.com/negativo_stats","@negativo_stats")</f>
        <v>@negativo_stats</v>
      </c>
      <c r="C6" s="8" t="s">
        <v>41</v>
      </c>
      <c r="D6" s="9" t="s">
        <v>42</v>
      </c>
      <c r="E6" s="10" t="str">
        <f>HYPERLINK("https://twitter.com/negativo_stats/status/1065977629487112197","1065977629487112197")</f>
        <v>1065977629487112197</v>
      </c>
      <c r="F6" s="12"/>
      <c r="G6" s="11" t="s">
        <v>43</v>
      </c>
      <c r="H6" s="12"/>
      <c r="I6" s="13">
        <v>0</v>
      </c>
      <c r="J6" s="13">
        <v>0</v>
      </c>
      <c r="K6" s="14" t="str">
        <f>HYPERLINK("http://kosmonautica.es","Política Negativa")</f>
        <v>Política Negativa</v>
      </c>
      <c r="L6" s="13">
        <v>256</v>
      </c>
      <c r="M6" s="13">
        <v>694</v>
      </c>
      <c r="N6" s="13">
        <v>2</v>
      </c>
      <c r="O6" s="15"/>
      <c r="P6" s="6">
        <v>42171.770601851851</v>
      </c>
      <c r="Q6" s="16" t="s">
        <v>44</v>
      </c>
      <c r="R6" s="17" t="s">
        <v>45</v>
      </c>
      <c r="S6" s="12"/>
      <c r="T6" s="12"/>
      <c r="U6" s="10" t="str">
        <f>HYPERLINK("https://pbs.twimg.com/profile_images/628553625984438272/e-VHyhP1.png","View")</f>
        <v>View</v>
      </c>
    </row>
    <row r="7" spans="1:21" ht="61.2">
      <c r="A7" s="6">
        <v>43427.65043981481</v>
      </c>
      <c r="B7" s="7" t="str">
        <f>HYPERLINK("https://twitter.com/nairdadrian7","@nairdadrian7")</f>
        <v>@nairdadrian7</v>
      </c>
      <c r="C7" s="8" t="s">
        <v>47</v>
      </c>
      <c r="D7" s="9" t="s">
        <v>48</v>
      </c>
      <c r="E7" s="10" t="str">
        <f>HYPERLINK("https://twitter.com/nairdadrian7/status/1065977427111931904","1065977427111931904")</f>
        <v>1065977427111931904</v>
      </c>
      <c r="F7" s="11" t="s">
        <v>50</v>
      </c>
      <c r="G7" s="11" t="s">
        <v>51</v>
      </c>
      <c r="H7" s="12"/>
      <c r="I7" s="13">
        <v>1</v>
      </c>
      <c r="J7" s="13">
        <v>0</v>
      </c>
      <c r="K7" s="14" t="str">
        <f t="shared" ref="K7:K10" si="1">HYPERLINK("http://twitter.com/download/android","Twitter for Android")</f>
        <v>Twitter for Android</v>
      </c>
      <c r="L7" s="13">
        <v>1367</v>
      </c>
      <c r="M7" s="13">
        <v>823</v>
      </c>
      <c r="N7" s="13">
        <v>13</v>
      </c>
      <c r="O7" s="15"/>
      <c r="P7" s="6">
        <v>42691.037824074076</v>
      </c>
      <c r="Q7" s="16" t="s">
        <v>52</v>
      </c>
      <c r="R7" s="17" t="s">
        <v>53</v>
      </c>
      <c r="S7" s="11" t="s">
        <v>54</v>
      </c>
      <c r="T7" s="12"/>
      <c r="U7" s="10" t="str">
        <f>HYPERLINK("https://pbs.twimg.com/profile_images/1058134224476221440/TC1D_gJR.jpg","View")</f>
        <v>View</v>
      </c>
    </row>
    <row r="8" spans="1:21" ht="61.2">
      <c r="A8" s="6">
        <v>43427.649108796293</v>
      </c>
      <c r="B8" s="7" t="str">
        <f>HYPERLINK("https://twitter.com/josepastranote","@josepastranote")</f>
        <v>@josepastranote</v>
      </c>
      <c r="C8" s="8" t="s">
        <v>55</v>
      </c>
      <c r="D8" s="9" t="s">
        <v>56</v>
      </c>
      <c r="E8" s="10" t="str">
        <f>HYPERLINK("https://twitter.com/josepastranote/status/1065976944381046785","1065976944381046785")</f>
        <v>1065976944381046785</v>
      </c>
      <c r="F8" s="12"/>
      <c r="G8" s="11" t="s">
        <v>57</v>
      </c>
      <c r="H8" s="12"/>
      <c r="I8" s="13">
        <v>0</v>
      </c>
      <c r="J8" s="13">
        <v>0</v>
      </c>
      <c r="K8" s="14" t="str">
        <f t="shared" si="1"/>
        <v>Twitter for Android</v>
      </c>
      <c r="L8" s="13">
        <v>145</v>
      </c>
      <c r="M8" s="13">
        <v>294</v>
      </c>
      <c r="N8" s="13">
        <v>1</v>
      </c>
      <c r="O8" s="15"/>
      <c r="P8" s="6">
        <v>40636.529606481483</v>
      </c>
      <c r="Q8" s="12"/>
      <c r="R8" s="17" t="s">
        <v>58</v>
      </c>
      <c r="S8" s="12"/>
      <c r="T8" s="12"/>
      <c r="U8" s="10" t="str">
        <f>HYPERLINK("https://pbs.twimg.com/profile_images/1051441796902002690/f1A7-S5t.jpg","View")</f>
        <v>View</v>
      </c>
    </row>
    <row r="9" spans="1:21" ht="61.2">
      <c r="A9" s="6">
        <v>43427.624293981484</v>
      </c>
      <c r="B9" s="7" t="str">
        <f>HYPERLINK("https://twitter.com/Toni_Clares","@Toni_Clares")</f>
        <v>@Toni_Clares</v>
      </c>
      <c r="C9" s="8" t="s">
        <v>59</v>
      </c>
      <c r="D9" s="9" t="s">
        <v>60</v>
      </c>
      <c r="E9" s="10" t="str">
        <f>HYPERLINK("https://twitter.com/Toni_Clares/status/1065967951625576448","1065967951625576448")</f>
        <v>1065967951625576448</v>
      </c>
      <c r="F9" s="12"/>
      <c r="G9" s="12"/>
      <c r="H9" s="12"/>
      <c r="I9" s="13">
        <v>1</v>
      </c>
      <c r="J9" s="13">
        <v>1</v>
      </c>
      <c r="K9" s="14" t="str">
        <f t="shared" si="1"/>
        <v>Twitter for Android</v>
      </c>
      <c r="L9" s="13">
        <v>1516</v>
      </c>
      <c r="M9" s="13">
        <v>1198</v>
      </c>
      <c r="N9" s="13">
        <v>55</v>
      </c>
      <c r="O9" s="15"/>
      <c r="P9" s="6">
        <v>40024.809074074074</v>
      </c>
      <c r="Q9" s="16" t="s">
        <v>61</v>
      </c>
      <c r="R9" s="17" t="s">
        <v>62</v>
      </c>
      <c r="S9" s="12"/>
      <c r="T9" s="12"/>
      <c r="U9" s="10" t="str">
        <f>HYPERLINK("https://pbs.twimg.com/profile_images/1017895537960521729/DvAk2yJA.jpg","View")</f>
        <v>View</v>
      </c>
    </row>
    <row r="10" spans="1:21" ht="30.6">
      <c r="A10" s="6">
        <v>43427.622812500005</v>
      </c>
      <c r="B10" s="7" t="str">
        <f>HYPERLINK("https://twitter.com/alfilvaliente","@alfilvaliente")</f>
        <v>@alfilvaliente</v>
      </c>
      <c r="C10" s="8" t="s">
        <v>63</v>
      </c>
      <c r="D10" s="9" t="s">
        <v>64</v>
      </c>
      <c r="E10" s="10" t="str">
        <f>HYPERLINK("https://twitter.com/alfilvaliente/status/1065967416956649472","1065967416956649472")</f>
        <v>1065967416956649472</v>
      </c>
      <c r="F10" s="11" t="s">
        <v>65</v>
      </c>
      <c r="G10" s="12"/>
      <c r="H10" s="12"/>
      <c r="I10" s="13">
        <v>0</v>
      </c>
      <c r="J10" s="13">
        <v>0</v>
      </c>
      <c r="K10" s="14" t="str">
        <f t="shared" si="1"/>
        <v>Twitter for Android</v>
      </c>
      <c r="L10" s="13">
        <v>140</v>
      </c>
      <c r="M10" s="13">
        <v>175</v>
      </c>
      <c r="N10" s="13">
        <v>2</v>
      </c>
      <c r="O10" s="15"/>
      <c r="P10" s="6">
        <v>42155.723541666666</v>
      </c>
      <c r="Q10" s="16" t="s">
        <v>66</v>
      </c>
      <c r="R10" s="17" t="s">
        <v>67</v>
      </c>
      <c r="S10" s="12"/>
      <c r="T10" s="12"/>
      <c r="U10" s="10" t="str">
        <f>HYPERLINK("https://pbs.twimg.com/profile_images/1048557989513322496/MOej_hMM.jpg","View")</f>
        <v>View</v>
      </c>
    </row>
    <row r="11" spans="1:21" ht="40.799999999999997">
      <c r="A11" s="6">
        <v>43427.615011574075</v>
      </c>
      <c r="B11" s="7" t="str">
        <f>HYPERLINK("https://twitter.com/Cuetano68","@Cuetano68")</f>
        <v>@Cuetano68</v>
      </c>
      <c r="C11" s="8" t="s">
        <v>70</v>
      </c>
      <c r="D11" s="9" t="s">
        <v>71</v>
      </c>
      <c r="E11" s="10" t="str">
        <f>HYPERLINK("https://twitter.com/Cuetano68/status/1065964589387522048","1065964589387522048")</f>
        <v>1065964589387522048</v>
      </c>
      <c r="F11" s="11" t="s">
        <v>72</v>
      </c>
      <c r="G11" s="12"/>
      <c r="H11" s="12"/>
      <c r="I11" s="13">
        <v>0</v>
      </c>
      <c r="J11" s="13">
        <v>1</v>
      </c>
      <c r="K11" s="14" t="str">
        <f>HYPERLINK("http://twitter.com","Twitter Web Client")</f>
        <v>Twitter Web Client</v>
      </c>
      <c r="L11" s="13">
        <v>5832</v>
      </c>
      <c r="M11" s="13">
        <v>6113</v>
      </c>
      <c r="N11" s="13">
        <v>121</v>
      </c>
      <c r="O11" s="15"/>
      <c r="P11" s="6">
        <v>40725.851666666669</v>
      </c>
      <c r="Q11" s="16" t="s">
        <v>74</v>
      </c>
      <c r="R11" s="17" t="s">
        <v>75</v>
      </c>
      <c r="S11" s="11" t="s">
        <v>76</v>
      </c>
      <c r="T11" s="12"/>
      <c r="U11" s="10" t="str">
        <f>HYPERLINK("https://pbs.twimg.com/profile_images/900511161799639040/5J9IE4Yv.jpg","View")</f>
        <v>View</v>
      </c>
    </row>
    <row r="12" spans="1:21" ht="40.799999999999997">
      <c r="A12" s="6">
        <v>43427.612523148149</v>
      </c>
      <c r="B12" s="7" t="str">
        <f>HYPERLINK("https://twitter.com/mahercu4","@mahercu4")</f>
        <v>@mahercu4</v>
      </c>
      <c r="C12" s="8" t="s">
        <v>78</v>
      </c>
      <c r="D12" s="9" t="s">
        <v>79</v>
      </c>
      <c r="E12" s="10" t="str">
        <f>HYPERLINK("https://twitter.com/mahercu4/status/1065963688782368768","1065963688782368768")</f>
        <v>1065963688782368768</v>
      </c>
      <c r="F12" s="12"/>
      <c r="G12" s="11" t="s">
        <v>80</v>
      </c>
      <c r="H12" s="12"/>
      <c r="I12" s="13">
        <v>0</v>
      </c>
      <c r="J12" s="13">
        <v>2</v>
      </c>
      <c r="K12" s="14" t="str">
        <f t="shared" ref="K12:K13" si="2">HYPERLINK("http://twitter.com/download/android","Twitter for Android")</f>
        <v>Twitter for Android</v>
      </c>
      <c r="L12" s="13">
        <v>212</v>
      </c>
      <c r="M12" s="13">
        <v>311</v>
      </c>
      <c r="N12" s="13">
        <v>0</v>
      </c>
      <c r="O12" s="15"/>
      <c r="P12" s="6">
        <v>41889.556458333333</v>
      </c>
      <c r="Q12" s="16" t="s">
        <v>82</v>
      </c>
      <c r="R12" s="17" t="s">
        <v>83</v>
      </c>
      <c r="S12" s="12"/>
      <c r="T12" s="12"/>
      <c r="U12" s="10" t="str">
        <f>HYPERLINK("https://pbs.twimg.com/profile_images/1025074930839433217/vCQOMfaW.jpg","View")</f>
        <v>View</v>
      </c>
    </row>
    <row r="13" spans="1:21" ht="40.799999999999997">
      <c r="A13" s="6">
        <v>43427.604050925926</v>
      </c>
      <c r="B13" s="7" t="str">
        <f>HYPERLINK("https://twitter.com/luisbeltri","@luisbeltri")</f>
        <v>@luisbeltri</v>
      </c>
      <c r="C13" s="8" t="s">
        <v>86</v>
      </c>
      <c r="D13" s="9" t="s">
        <v>87</v>
      </c>
      <c r="E13" s="10" t="str">
        <f>HYPERLINK("https://twitter.com/luisbeltri/status/1065960619378122752","1065960619378122752")</f>
        <v>1065960619378122752</v>
      </c>
      <c r="F13" s="12"/>
      <c r="G13" s="12"/>
      <c r="H13" s="12"/>
      <c r="I13" s="13">
        <v>0</v>
      </c>
      <c r="J13" s="13">
        <v>0</v>
      </c>
      <c r="K13" s="14" t="str">
        <f t="shared" si="2"/>
        <v>Twitter for Android</v>
      </c>
      <c r="L13" s="13">
        <v>28078</v>
      </c>
      <c r="M13" s="13">
        <v>18407</v>
      </c>
      <c r="N13" s="13">
        <v>195</v>
      </c>
      <c r="O13" s="15"/>
      <c r="P13" s="6">
        <v>40018.954016203701</v>
      </c>
      <c r="Q13" s="16" t="s">
        <v>88</v>
      </c>
      <c r="R13" s="17" t="s">
        <v>89</v>
      </c>
      <c r="S13" s="12"/>
      <c r="T13" s="12"/>
      <c r="U13" s="10" t="str">
        <f>HYPERLINK("https://pbs.twimg.com/profile_images/1028220595404787712/uTQd5ZiU.jpg","View")</f>
        <v>View</v>
      </c>
    </row>
    <row r="14" spans="1:21" ht="112.2">
      <c r="A14" s="6">
        <v>43427.592337962968</v>
      </c>
      <c r="B14" s="7" t="str">
        <f>HYPERLINK("https://twitter.com/barbara_bitar","@barbara_bitar")</f>
        <v>@barbara_bitar</v>
      </c>
      <c r="C14" s="8" t="s">
        <v>91</v>
      </c>
      <c r="D14" s="9" t="s">
        <v>92</v>
      </c>
      <c r="E14" s="10" t="str">
        <f>HYPERLINK("https://twitter.com/barbara_bitar/status/1065956373517803520","1065956373517803520")</f>
        <v>1065956373517803520</v>
      </c>
      <c r="F14" s="16" t="s">
        <v>94</v>
      </c>
      <c r="G14" s="12"/>
      <c r="H14" s="12"/>
      <c r="I14" s="13">
        <v>2</v>
      </c>
      <c r="J14" s="13">
        <v>2</v>
      </c>
      <c r="K14" s="14" t="str">
        <f>HYPERLINK("http://twitter.com/download/iphone","Twitter for iPhone")</f>
        <v>Twitter for iPhone</v>
      </c>
      <c r="L14" s="13">
        <v>3066</v>
      </c>
      <c r="M14" s="13">
        <v>3578</v>
      </c>
      <c r="N14" s="13">
        <v>14</v>
      </c>
      <c r="O14" s="15"/>
      <c r="P14" s="6">
        <v>42702.840474537035</v>
      </c>
      <c r="Q14" s="16" t="s">
        <v>96</v>
      </c>
      <c r="R14" s="17" t="s">
        <v>97</v>
      </c>
      <c r="S14" s="12"/>
      <c r="T14" s="12"/>
      <c r="U14" s="10" t="str">
        <f>HYPERLINK("https://pbs.twimg.com/profile_images/1035883420461744128/QfU_zkU3.jpg","View")</f>
        <v>View</v>
      </c>
    </row>
    <row r="15" spans="1:21" ht="61.2">
      <c r="A15" s="6">
        <v>43427.591539351852</v>
      </c>
      <c r="B15" s="7" t="str">
        <f>HYPERLINK("https://twitter.com/demendoza__","@demendoza__")</f>
        <v>@demendoza__</v>
      </c>
      <c r="C15" s="8" t="s">
        <v>98</v>
      </c>
      <c r="D15" s="9" t="s">
        <v>99</v>
      </c>
      <c r="E15" s="10" t="str">
        <f>HYPERLINK("https://twitter.com/demendoza__/status/1065956085008351232","1065956085008351232")</f>
        <v>1065956085008351232</v>
      </c>
      <c r="F15" s="11" t="s">
        <v>100</v>
      </c>
      <c r="G15" s="11" t="s">
        <v>101</v>
      </c>
      <c r="H15" s="12"/>
      <c r="I15" s="13">
        <v>0</v>
      </c>
      <c r="J15" s="13">
        <v>0</v>
      </c>
      <c r="K15" s="14" t="str">
        <f>HYPERLINK("http://twitter.com/download/android","Twitter for Android")</f>
        <v>Twitter for Android</v>
      </c>
      <c r="L15" s="13">
        <v>90</v>
      </c>
      <c r="M15" s="13">
        <v>157</v>
      </c>
      <c r="N15" s="13">
        <v>0</v>
      </c>
      <c r="O15" s="15"/>
      <c r="P15" s="6">
        <v>43421.568993055553</v>
      </c>
      <c r="Q15" s="16" t="s">
        <v>66</v>
      </c>
      <c r="R15" s="17" t="s">
        <v>102</v>
      </c>
      <c r="S15" s="12"/>
      <c r="T15" s="12"/>
      <c r="U15" s="10" t="str">
        <f>HYPERLINK("https://pbs.twimg.com/profile_images/1063971566747353090/702qawWx.jpg","View")</f>
        <v>View</v>
      </c>
    </row>
    <row r="16" spans="1:21" ht="112.2">
      <c r="A16" s="6">
        <v>43427.584560185191</v>
      </c>
      <c r="B16" s="7" t="str">
        <f>HYPERLINK("https://twitter.com/barbara_bitar","@barbara_bitar")</f>
        <v>@barbara_bitar</v>
      </c>
      <c r="C16" s="8" t="s">
        <v>91</v>
      </c>
      <c r="D16" s="9" t="s">
        <v>103</v>
      </c>
      <c r="E16" s="10" t="str">
        <f>HYPERLINK("https://twitter.com/barbara_bitar/status/1065953552449843200","1065953552449843200")</f>
        <v>1065953552449843200</v>
      </c>
      <c r="F16" s="11" t="s">
        <v>105</v>
      </c>
      <c r="G16" s="12"/>
      <c r="H16" s="12"/>
      <c r="I16" s="13">
        <v>3</v>
      </c>
      <c r="J16" s="13">
        <v>3</v>
      </c>
      <c r="K16" s="14" t="str">
        <f>HYPERLINK("http://twitter.com/download/iphone","Twitter for iPhone")</f>
        <v>Twitter for iPhone</v>
      </c>
      <c r="L16" s="13">
        <v>3066</v>
      </c>
      <c r="M16" s="13">
        <v>3578</v>
      </c>
      <c r="N16" s="13">
        <v>14</v>
      </c>
      <c r="O16" s="15"/>
      <c r="P16" s="6">
        <v>42702.840474537035</v>
      </c>
      <c r="Q16" s="16" t="s">
        <v>96</v>
      </c>
      <c r="R16" s="17" t="s">
        <v>97</v>
      </c>
      <c r="S16" s="12"/>
      <c r="T16" s="12"/>
      <c r="U16" s="10" t="str">
        <f>HYPERLINK("https://pbs.twimg.com/profile_images/1035883420461744128/QfU_zkU3.jpg","View")</f>
        <v>View</v>
      </c>
    </row>
    <row r="17" spans="1:21" ht="71.400000000000006">
      <c r="A17" s="6">
        <v>43427.575532407413</v>
      </c>
      <c r="B17" s="7" t="str">
        <f>HYPERLINK("https://twitter.com/lunadebenidorm","@lunadebenidorm")</f>
        <v>@lunadebenidorm</v>
      </c>
      <c r="C17" s="8" t="s">
        <v>106</v>
      </c>
      <c r="D17" s="9" t="s">
        <v>107</v>
      </c>
      <c r="E17" s="10" t="str">
        <f>HYPERLINK("https://twitter.com/lunadebenidorm/status/1065950282574692352","1065950282574692352")</f>
        <v>1065950282574692352</v>
      </c>
      <c r="F17" s="12"/>
      <c r="G17" s="12"/>
      <c r="H17" s="12"/>
      <c r="I17" s="13">
        <v>0</v>
      </c>
      <c r="J17" s="13">
        <v>0</v>
      </c>
      <c r="K17" s="14" t="str">
        <f>HYPERLINK("http://twitter.com/download/android","Twitter for Android")</f>
        <v>Twitter for Android</v>
      </c>
      <c r="L17" s="13">
        <v>3991</v>
      </c>
      <c r="M17" s="13">
        <v>3978</v>
      </c>
      <c r="N17" s="13">
        <v>79</v>
      </c>
      <c r="O17" s="15"/>
      <c r="P17" s="6">
        <v>41461.81186342593</v>
      </c>
      <c r="Q17" s="12"/>
      <c r="R17" s="17" t="s">
        <v>108</v>
      </c>
      <c r="S17" s="12"/>
      <c r="T17" s="12"/>
      <c r="U17" s="10" t="str">
        <f>HYPERLINK("https://pbs.twimg.com/profile_images/1061229593758257153/rePCQt08.jpg","View")</f>
        <v>View</v>
      </c>
    </row>
    <row r="18" spans="1:21" ht="40.799999999999997">
      <c r="A18" s="6">
        <v>43427.571203703701</v>
      </c>
      <c r="B18" s="7" t="str">
        <f>HYPERLINK("https://twitter.com/pablomc89","@pablomc89")</f>
        <v>@pablomc89</v>
      </c>
      <c r="C18" s="8" t="s">
        <v>109</v>
      </c>
      <c r="D18" s="9" t="s">
        <v>110</v>
      </c>
      <c r="E18" s="10" t="str">
        <f>HYPERLINK("https://twitter.com/pablomc89/status/1065948713410015232","1065948713410015232")</f>
        <v>1065948713410015232</v>
      </c>
      <c r="F18" s="12"/>
      <c r="G18" s="12"/>
      <c r="H18" s="12"/>
      <c r="I18" s="13">
        <v>0</v>
      </c>
      <c r="J18" s="13">
        <v>0</v>
      </c>
      <c r="K18" s="14" t="str">
        <f>HYPERLINK("http://twitter.com/download/iphone","Twitter for iPhone")</f>
        <v>Twitter for iPhone</v>
      </c>
      <c r="L18" s="13">
        <v>74</v>
      </c>
      <c r="M18" s="13">
        <v>351</v>
      </c>
      <c r="N18" s="13">
        <v>0</v>
      </c>
      <c r="O18" s="15"/>
      <c r="P18" s="6">
        <v>43312.521527777775</v>
      </c>
      <c r="Q18" s="16" t="s">
        <v>111</v>
      </c>
      <c r="R18" s="17" t="s">
        <v>112</v>
      </c>
      <c r="S18" s="12"/>
      <c r="T18" s="12"/>
      <c r="U18" s="10" t="str">
        <f>HYPERLINK("https://pbs.twimg.com/profile_images/1031990847263465472/yogZfl-f.jpg","View")</f>
        <v>View</v>
      </c>
    </row>
    <row r="19" spans="1:21" ht="40.799999999999997">
      <c r="A19" s="6">
        <v>43427.561898148153</v>
      </c>
      <c r="B19" s="7" t="str">
        <f>HYPERLINK("https://twitter.com/JoseLuisdelRio9","@JoseLuisdelRio9")</f>
        <v>@JoseLuisdelRio9</v>
      </c>
      <c r="C19" s="8" t="s">
        <v>114</v>
      </c>
      <c r="D19" s="9" t="s">
        <v>115</v>
      </c>
      <c r="E19" s="10" t="str">
        <f>HYPERLINK("https://twitter.com/JoseLuisdelRio9/status/1065945342800261121","1065945342800261121")</f>
        <v>1065945342800261121</v>
      </c>
      <c r="F19" s="12"/>
      <c r="G19" s="11" t="s">
        <v>116</v>
      </c>
      <c r="H19" s="12"/>
      <c r="I19" s="13">
        <v>0</v>
      </c>
      <c r="J19" s="13">
        <v>1</v>
      </c>
      <c r="K19" s="14" t="str">
        <f t="shared" ref="K19:K20" si="3">HYPERLINK("http://twitter.com/download/android","Twitter for Android")</f>
        <v>Twitter for Android</v>
      </c>
      <c r="L19" s="13">
        <v>1807</v>
      </c>
      <c r="M19" s="13">
        <v>2601</v>
      </c>
      <c r="N19" s="13">
        <v>11</v>
      </c>
      <c r="O19" s="15"/>
      <c r="P19" s="6">
        <v>41780.701782407406</v>
      </c>
      <c r="Q19" s="12"/>
      <c r="R19" s="21"/>
      <c r="S19" s="12"/>
      <c r="T19" s="12"/>
      <c r="U19" s="10" t="str">
        <f>HYPERLINK("https://pbs.twimg.com/profile_images/774235564761616384/v8tceDLo.jpg","View")</f>
        <v>View</v>
      </c>
    </row>
    <row r="20" spans="1:21" ht="61.2">
      <c r="A20" s="6">
        <v>43427.541562500002</v>
      </c>
      <c r="B20" s="7" t="str">
        <f>HYPERLINK("https://twitter.com/jlescriba","@jlescriba")</f>
        <v>@jlescriba</v>
      </c>
      <c r="C20" s="8" t="s">
        <v>118</v>
      </c>
      <c r="D20" s="9" t="s">
        <v>119</v>
      </c>
      <c r="E20" s="10" t="str">
        <f>HYPERLINK("https://twitter.com/jlescriba/status/1065937972808335361","1065937972808335361")</f>
        <v>1065937972808335361</v>
      </c>
      <c r="F20" s="16" t="s">
        <v>121</v>
      </c>
      <c r="G20" s="12"/>
      <c r="H20" s="12"/>
      <c r="I20" s="13">
        <v>1</v>
      </c>
      <c r="J20" s="13">
        <v>2</v>
      </c>
      <c r="K20" s="14" t="str">
        <f t="shared" si="3"/>
        <v>Twitter for Android</v>
      </c>
      <c r="L20" s="13">
        <v>274</v>
      </c>
      <c r="M20" s="13">
        <v>438</v>
      </c>
      <c r="N20" s="13">
        <v>11</v>
      </c>
      <c r="O20" s="15"/>
      <c r="P20" s="6">
        <v>41247.965578703705</v>
      </c>
      <c r="Q20" s="12"/>
      <c r="R20" s="17" t="s">
        <v>122</v>
      </c>
      <c r="S20" s="12"/>
      <c r="T20" s="12"/>
      <c r="U20" s="10" t="str">
        <f>HYPERLINK("https://pbs.twimg.com/profile_images/876833715262980098/n1VAIEAM.jpg","View")</f>
        <v>View</v>
      </c>
    </row>
    <row r="21" spans="1:21" ht="71.400000000000006">
      <c r="A21" s="6">
        <v>43427.531099537038</v>
      </c>
      <c r="B21" s="7" t="str">
        <f>HYPERLINK("https://twitter.com/MartinXaen","@MartinXaen")</f>
        <v>@MartinXaen</v>
      </c>
      <c r="C21" s="8" t="s">
        <v>124</v>
      </c>
      <c r="D21" s="9" t="s">
        <v>125</v>
      </c>
      <c r="E21" s="10" t="str">
        <f>HYPERLINK("https://twitter.com/MartinXaen/status/1065934181639819266","1065934181639819266")</f>
        <v>1065934181639819266</v>
      </c>
      <c r="F21" s="16" t="s">
        <v>127</v>
      </c>
      <c r="G21" s="12"/>
      <c r="H21" s="12"/>
      <c r="I21" s="13">
        <v>0</v>
      </c>
      <c r="J21" s="13">
        <v>0</v>
      </c>
      <c r="K21" s="14" t="str">
        <f>HYPERLINK("https://mobile.twitter.com","Twitter Lite")</f>
        <v>Twitter Lite</v>
      </c>
      <c r="L21" s="13">
        <v>237</v>
      </c>
      <c r="M21" s="13">
        <v>463</v>
      </c>
      <c r="N21" s="13">
        <v>2</v>
      </c>
      <c r="O21" s="15"/>
      <c r="P21" s="6">
        <v>41707.451539351852</v>
      </c>
      <c r="Q21" s="16" t="s">
        <v>128</v>
      </c>
      <c r="R21" s="17" t="s">
        <v>129</v>
      </c>
      <c r="S21" s="12"/>
      <c r="T21" s="12"/>
      <c r="U21" s="10" t="str">
        <f>HYPERLINK("https://pbs.twimg.com/profile_images/1039175662358208512/b7CTsBaJ.jpg","View")</f>
        <v>View</v>
      </c>
    </row>
    <row r="22" spans="1:21" ht="91.8">
      <c r="A22" s="6">
        <v>43427.527719907404</v>
      </c>
      <c r="B22" s="7" t="str">
        <f>HYPERLINK("https://twitter.com/drcarlosramoshg","@drcarlosramoshg")</f>
        <v>@drcarlosramoshg</v>
      </c>
      <c r="C22" s="8" t="s">
        <v>130</v>
      </c>
      <c r="D22" s="9" t="s">
        <v>131</v>
      </c>
      <c r="E22" s="10" t="str">
        <f>HYPERLINK("https://twitter.com/drcarlosramoshg/status/1065932958324965377","1065932958324965377")</f>
        <v>1065932958324965377</v>
      </c>
      <c r="F22" s="11" t="s">
        <v>132</v>
      </c>
      <c r="G22" s="11" t="s">
        <v>133</v>
      </c>
      <c r="H22" s="12"/>
      <c r="I22" s="13">
        <v>0</v>
      </c>
      <c r="J22" s="13">
        <v>0</v>
      </c>
      <c r="K22" s="14" t="str">
        <f>HYPERLINK("http://twitter.com/download/iphone","Twitter for iPhone")</f>
        <v>Twitter for iPhone</v>
      </c>
      <c r="L22" s="13">
        <v>58</v>
      </c>
      <c r="M22" s="13">
        <v>44</v>
      </c>
      <c r="N22" s="13">
        <v>0</v>
      </c>
      <c r="O22" s="15"/>
      <c r="P22" s="6">
        <v>40980.565474537041</v>
      </c>
      <c r="Q22" s="16" t="s">
        <v>135</v>
      </c>
      <c r="R22" s="17" t="s">
        <v>136</v>
      </c>
      <c r="S22" s="12"/>
      <c r="T22" s="12"/>
      <c r="U22" s="10" t="str">
        <f>HYPERLINK("https://pbs.twimg.com/profile_images/1891181617/image.jpg","View")</f>
        <v>View</v>
      </c>
    </row>
    <row r="23" spans="1:21" ht="51">
      <c r="A23" s="6">
        <v>43427.520648148144</v>
      </c>
      <c r="B23" s="7" t="str">
        <f>HYPERLINK("https://twitter.com/Vox_Almeria","@Vox_Almeria")</f>
        <v>@Vox_Almeria</v>
      </c>
      <c r="C23" s="8" t="s">
        <v>137</v>
      </c>
      <c r="D23" s="9" t="s">
        <v>138</v>
      </c>
      <c r="E23" s="10" t="str">
        <f>HYPERLINK("https://twitter.com/Vox_Almeria/status/1065930394497949696","1065930394497949696")</f>
        <v>1065930394497949696</v>
      </c>
      <c r="F23" s="12"/>
      <c r="G23" s="11" t="s">
        <v>139</v>
      </c>
      <c r="H23" s="12"/>
      <c r="I23" s="13">
        <v>14</v>
      </c>
      <c r="J23" s="13">
        <v>21</v>
      </c>
      <c r="K23" s="14" t="str">
        <f t="shared" ref="K23:K24" si="4">HYPERLINK("http://twitter.com/download/android","Twitter for Android")</f>
        <v>Twitter for Android</v>
      </c>
      <c r="L23" s="13">
        <v>2969</v>
      </c>
      <c r="M23" s="13">
        <v>439</v>
      </c>
      <c r="N23" s="13">
        <v>30</v>
      </c>
      <c r="O23" s="15"/>
      <c r="P23" s="6">
        <v>41707.005243055552</v>
      </c>
      <c r="Q23" s="16" t="s">
        <v>140</v>
      </c>
      <c r="R23" s="17" t="s">
        <v>141</v>
      </c>
      <c r="S23" s="11" t="s">
        <v>142</v>
      </c>
      <c r="T23" s="12"/>
      <c r="U23" s="10" t="str">
        <f>HYPERLINK("https://pbs.twimg.com/profile_images/1063398215507222528/qzM6rNZp.jpg","View")</f>
        <v>View</v>
      </c>
    </row>
    <row r="24" spans="1:21" ht="30.6">
      <c r="A24" s="6">
        <v>43427.519074074073</v>
      </c>
      <c r="B24" s="7" t="str">
        <f>HYPERLINK("https://twitter.com/BALBONTINMARTA","@BALBONTINMARTA")</f>
        <v>@BALBONTINMARTA</v>
      </c>
      <c r="C24" s="8" t="s">
        <v>143</v>
      </c>
      <c r="D24" s="9" t="s">
        <v>144</v>
      </c>
      <c r="E24" s="10" t="str">
        <f>HYPERLINK("https://twitter.com/BALBONTINMARTA/status/1065929821467934720","1065929821467934720")</f>
        <v>1065929821467934720</v>
      </c>
      <c r="F24" s="12"/>
      <c r="G24" s="12"/>
      <c r="H24" s="12"/>
      <c r="I24" s="13">
        <v>0</v>
      </c>
      <c r="J24" s="13">
        <v>0</v>
      </c>
      <c r="K24" s="14" t="str">
        <f t="shared" si="4"/>
        <v>Twitter for Android</v>
      </c>
      <c r="L24" s="13">
        <v>240</v>
      </c>
      <c r="M24" s="13">
        <v>231</v>
      </c>
      <c r="N24" s="13">
        <v>1</v>
      </c>
      <c r="O24" s="15"/>
      <c r="P24" s="6">
        <v>40695.672638888893</v>
      </c>
      <c r="Q24" s="16" t="s">
        <v>145</v>
      </c>
      <c r="R24" s="17" t="s">
        <v>146</v>
      </c>
      <c r="S24" s="12"/>
      <c r="T24" s="12"/>
      <c r="U24" s="10" t="str">
        <f>HYPERLINK("https://pbs.twimg.com/profile_images/1052598320533667840/9UrOe7Go.jpg","View")</f>
        <v>View</v>
      </c>
    </row>
    <row r="25" spans="1:21" ht="20.399999999999999">
      <c r="A25" s="6">
        <v>43427.511840277773</v>
      </c>
      <c r="B25" s="7" t="str">
        <f>HYPERLINK("https://twitter.com/QLpez","@QLpez")</f>
        <v>@QLpez</v>
      </c>
      <c r="C25" s="8" t="s">
        <v>147</v>
      </c>
      <c r="D25" s="9" t="s">
        <v>148</v>
      </c>
      <c r="E25" s="10" t="str">
        <f>HYPERLINK("https://twitter.com/QLpez/status/1065927200355041280","1065927200355041280")</f>
        <v>1065927200355041280</v>
      </c>
      <c r="F25" s="12"/>
      <c r="G25" s="11" t="s">
        <v>149</v>
      </c>
      <c r="H25" s="12"/>
      <c r="I25" s="13">
        <v>0</v>
      </c>
      <c r="J25" s="13">
        <v>0</v>
      </c>
      <c r="K25" s="14" t="str">
        <f>HYPERLINK("http://twitter.com","Twitter Web Client")</f>
        <v>Twitter Web Client</v>
      </c>
      <c r="L25" s="13">
        <v>483</v>
      </c>
      <c r="M25" s="13">
        <v>377</v>
      </c>
      <c r="N25" s="13">
        <v>6</v>
      </c>
      <c r="O25" s="15"/>
      <c r="P25" s="6">
        <v>40685.987384259257</v>
      </c>
      <c r="Q25" s="16" t="s">
        <v>66</v>
      </c>
      <c r="R25" s="21"/>
      <c r="S25" s="12"/>
      <c r="T25" s="12"/>
      <c r="U25" s="10" t="str">
        <f>HYPERLINK("https://pbs.twimg.com/profile_images/1059196365690015745/DTQxO61z.jpg","View")</f>
        <v>View</v>
      </c>
    </row>
    <row r="26" spans="1:21" ht="30.6">
      <c r="A26" s="6">
        <v>43427.504988425921</v>
      </c>
      <c r="B26" s="7" t="str">
        <f>HYPERLINK("https://twitter.com/anjirom","@anjirom")</f>
        <v>@anjirom</v>
      </c>
      <c r="C26" s="8" t="s">
        <v>150</v>
      </c>
      <c r="D26" s="9" t="s">
        <v>151</v>
      </c>
      <c r="E26" s="10" t="str">
        <f>HYPERLINK("https://twitter.com/anjirom/status/1065924718585364481","1065924718585364481")</f>
        <v>1065924718585364481</v>
      </c>
      <c r="F26" s="11" t="s">
        <v>152</v>
      </c>
      <c r="G26" s="12"/>
      <c r="H26" s="12"/>
      <c r="I26" s="13">
        <v>0</v>
      </c>
      <c r="J26" s="13">
        <v>0</v>
      </c>
      <c r="K26" s="14" t="str">
        <f>HYPERLINK("http://twitter.com/download/android","Twitter for Android")</f>
        <v>Twitter for Android</v>
      </c>
      <c r="L26" s="13">
        <v>359</v>
      </c>
      <c r="M26" s="13">
        <v>339</v>
      </c>
      <c r="N26" s="13">
        <v>11</v>
      </c>
      <c r="O26" s="15"/>
      <c r="P26" s="6">
        <v>40796.954571759255</v>
      </c>
      <c r="Q26" s="16" t="s">
        <v>154</v>
      </c>
      <c r="R26" s="17" t="s">
        <v>155</v>
      </c>
      <c r="S26" s="12"/>
      <c r="T26" s="12"/>
      <c r="U26" s="10" t="str">
        <f>HYPERLINK("https://pbs.twimg.com/profile_images/956798731269103616/tkOBpMnA.jpg","View")</f>
        <v>View</v>
      </c>
    </row>
    <row r="27" spans="1:21" ht="40.799999999999997">
      <c r="A27" s="6">
        <v>43427.48269675926</v>
      </c>
      <c r="B27" s="7" t="str">
        <f>HYPERLINK("https://twitter.com/NestaresAntonio","@NestaresAntonio")</f>
        <v>@NestaresAntonio</v>
      </c>
      <c r="C27" s="8" t="s">
        <v>156</v>
      </c>
      <c r="D27" s="9" t="s">
        <v>157</v>
      </c>
      <c r="E27" s="10" t="str">
        <f>HYPERLINK("https://twitter.com/NestaresAntonio/status/1065916639152128006","1065916639152128006")</f>
        <v>1065916639152128006</v>
      </c>
      <c r="F27" s="12"/>
      <c r="G27" s="12"/>
      <c r="H27" s="12"/>
      <c r="I27" s="13">
        <v>0</v>
      </c>
      <c r="J27" s="13">
        <v>1</v>
      </c>
      <c r="K27" s="14" t="str">
        <f>HYPERLINK("http://twitter.com/download/iphone","Twitter for iPhone")</f>
        <v>Twitter for iPhone</v>
      </c>
      <c r="L27" s="13">
        <v>9</v>
      </c>
      <c r="M27" s="13">
        <v>37</v>
      </c>
      <c r="N27" s="13">
        <v>1</v>
      </c>
      <c r="O27" s="15"/>
      <c r="P27" s="6">
        <v>43367.697222222225</v>
      </c>
      <c r="Q27" s="16" t="s">
        <v>158</v>
      </c>
      <c r="R27" s="17" t="s">
        <v>159</v>
      </c>
      <c r="S27" s="12"/>
      <c r="T27" s="12"/>
      <c r="U27" s="10" t="str">
        <f>HYPERLINK("https://pbs.twimg.com/profile_images/1065918208790679552/yzvQcN7U.jpg","View")</f>
        <v>View</v>
      </c>
    </row>
    <row r="28" spans="1:21" ht="102">
      <c r="A28" s="6">
        <v>43427.479351851856</v>
      </c>
      <c r="B28" s="7" t="str">
        <f>HYPERLINK("https://twitter.com/BernalDCastillo","@BernalDCastillo")</f>
        <v>@BernalDCastillo</v>
      </c>
      <c r="C28" s="8" t="s">
        <v>160</v>
      </c>
      <c r="D28" s="9" t="s">
        <v>161</v>
      </c>
      <c r="E28" s="10" t="str">
        <f>HYPERLINK("https://twitter.com/BernalDCastillo/status/1065915430190096384","1065915430190096384")</f>
        <v>1065915430190096384</v>
      </c>
      <c r="F28" s="11" t="s">
        <v>162</v>
      </c>
      <c r="G28" s="12"/>
      <c r="H28" s="12"/>
      <c r="I28" s="13">
        <v>3</v>
      </c>
      <c r="J28" s="13">
        <v>3</v>
      </c>
      <c r="K28" s="14" t="str">
        <f>HYPERLINK("https://mobile.twitter.com","Twitter Lite")</f>
        <v>Twitter Lite</v>
      </c>
      <c r="L28" s="13">
        <v>442</v>
      </c>
      <c r="M28" s="13">
        <v>329</v>
      </c>
      <c r="N28" s="13">
        <v>0</v>
      </c>
      <c r="O28" s="15"/>
      <c r="P28" s="6">
        <v>43155.978009259255</v>
      </c>
      <c r="Q28" s="12"/>
      <c r="R28" s="17" t="s">
        <v>163</v>
      </c>
      <c r="S28" s="11" t="s">
        <v>164</v>
      </c>
      <c r="T28" s="12"/>
      <c r="U28" s="10" t="str">
        <f>HYPERLINK("https://pbs.twimg.com/profile_images/1000822108019216385/Cw2qnTdc.jpg","View")</f>
        <v>View</v>
      </c>
    </row>
    <row r="29" spans="1:21" ht="20.399999999999999">
      <c r="A29" s="6">
        <v>43427.44694444444</v>
      </c>
      <c r="B29" s="7" t="str">
        <f>HYPERLINK("https://twitter.com/iker14066","@iker14066")</f>
        <v>@iker14066</v>
      </c>
      <c r="C29" s="8" t="s">
        <v>165</v>
      </c>
      <c r="D29" s="9" t="s">
        <v>166</v>
      </c>
      <c r="E29" s="10" t="str">
        <f>HYPERLINK("https://twitter.com/iker14066/status/1065903686147289089","1065903686147289089")</f>
        <v>1065903686147289089</v>
      </c>
      <c r="F29" s="12"/>
      <c r="G29" s="12"/>
      <c r="H29" s="12"/>
      <c r="I29" s="13">
        <v>0</v>
      </c>
      <c r="J29" s="13">
        <v>0</v>
      </c>
      <c r="K29" s="14" t="str">
        <f>HYPERLINK("http://twitter.com/download/iphone","Twitter for iPhone")</f>
        <v>Twitter for iPhone</v>
      </c>
      <c r="L29" s="13">
        <v>131</v>
      </c>
      <c r="M29" s="13">
        <v>581</v>
      </c>
      <c r="N29" s="13">
        <v>4</v>
      </c>
      <c r="O29" s="15"/>
      <c r="P29" s="6">
        <v>41526.30940972222</v>
      </c>
      <c r="Q29" s="12"/>
      <c r="R29" s="17" t="s">
        <v>167</v>
      </c>
      <c r="S29" s="12"/>
      <c r="T29" s="12"/>
      <c r="U29" s="10" t="str">
        <f>HYPERLINK("https://pbs.twimg.com/profile_images/934778114550493184/uy8GJrF2.jpg","View")</f>
        <v>View</v>
      </c>
    </row>
    <row r="30" spans="1:21" ht="40.799999999999997">
      <c r="A30" s="6">
        <v>43427.444791666669</v>
      </c>
      <c r="B30" s="7" t="str">
        <f>HYPERLINK("https://twitter.com/Jolu1970Jose","@Jolu1970Jose")</f>
        <v>@Jolu1970Jose</v>
      </c>
      <c r="C30" s="8" t="s">
        <v>168</v>
      </c>
      <c r="D30" s="9" t="s">
        <v>169</v>
      </c>
      <c r="E30" s="10" t="str">
        <f>HYPERLINK("https://twitter.com/Jolu1970Jose/status/1065902902911352833","1065902902911352833")</f>
        <v>1065902902911352833</v>
      </c>
      <c r="F30" s="11" t="s">
        <v>170</v>
      </c>
      <c r="G30" s="12"/>
      <c r="H30" s="12"/>
      <c r="I30" s="13">
        <v>0</v>
      </c>
      <c r="J30" s="13">
        <v>0</v>
      </c>
      <c r="K30" s="14" t="str">
        <f t="shared" ref="K30:K34" si="5">HYPERLINK("http://twitter.com/download/android","Twitter for Android")</f>
        <v>Twitter for Android</v>
      </c>
      <c r="L30" s="13">
        <v>2345</v>
      </c>
      <c r="M30" s="13">
        <v>2493</v>
      </c>
      <c r="N30" s="13">
        <v>22</v>
      </c>
      <c r="O30" s="15"/>
      <c r="P30" s="6">
        <v>40681.964178240742</v>
      </c>
      <c r="Q30" s="12"/>
      <c r="R30" s="17" t="s">
        <v>171</v>
      </c>
      <c r="S30" s="12"/>
      <c r="T30" s="12"/>
      <c r="U30" s="10" t="str">
        <f>HYPERLINK("https://pbs.twimg.com/profile_images/997194518444175360/dnaJJ08L.jpg","View")</f>
        <v>View</v>
      </c>
    </row>
    <row r="31" spans="1:21" ht="13.2">
      <c r="A31" s="6">
        <v>43427.440439814818</v>
      </c>
      <c r="B31" s="7" t="str">
        <f>HYPERLINK("https://twitter.com/SrLimong","@SrLimong")</f>
        <v>@SrLimong</v>
      </c>
      <c r="C31" s="8" t="s">
        <v>172</v>
      </c>
      <c r="D31" s="9" t="s">
        <v>173</v>
      </c>
      <c r="E31" s="10" t="str">
        <f>HYPERLINK("https://twitter.com/SrLimong/status/1065901324989071360","1065901324989071360")</f>
        <v>1065901324989071360</v>
      </c>
      <c r="F31" s="12"/>
      <c r="G31" s="12"/>
      <c r="H31" s="12"/>
      <c r="I31" s="13">
        <v>0</v>
      </c>
      <c r="J31" s="13">
        <v>0</v>
      </c>
      <c r="K31" s="14" t="str">
        <f t="shared" si="5"/>
        <v>Twitter for Android</v>
      </c>
      <c r="L31" s="13">
        <v>1244</v>
      </c>
      <c r="M31" s="13">
        <v>617</v>
      </c>
      <c r="N31" s="13">
        <v>32</v>
      </c>
      <c r="O31" s="15"/>
      <c r="P31" s="6">
        <v>40512.477048611108</v>
      </c>
      <c r="Q31" s="12"/>
      <c r="R31" s="17" t="s">
        <v>174</v>
      </c>
      <c r="S31" s="12"/>
      <c r="T31" s="12"/>
      <c r="U31" s="10" t="str">
        <f>HYPERLINK("https://pbs.twimg.com/profile_images/1059419878740893701/7rC5UF0j.jpg","View")</f>
        <v>View</v>
      </c>
    </row>
    <row r="32" spans="1:21" ht="71.400000000000006">
      <c r="A32" s="6">
        <v>43427.435995370368</v>
      </c>
      <c r="B32" s="7" t="str">
        <f>HYPERLINK("https://twitter.com/ikerjauna","@ikerjauna")</f>
        <v>@ikerjauna</v>
      </c>
      <c r="C32" s="8" t="s">
        <v>175</v>
      </c>
      <c r="D32" s="9" t="s">
        <v>176</v>
      </c>
      <c r="E32" s="10" t="str">
        <f>HYPERLINK("https://twitter.com/ikerjauna/status/1065899717714952193","1065899717714952193")</f>
        <v>1065899717714952193</v>
      </c>
      <c r="F32" s="11" t="s">
        <v>177</v>
      </c>
      <c r="G32" s="11" t="s">
        <v>178</v>
      </c>
      <c r="H32" s="12"/>
      <c r="I32" s="13">
        <v>0</v>
      </c>
      <c r="J32" s="13">
        <v>0</v>
      </c>
      <c r="K32" s="14" t="str">
        <f t="shared" si="5"/>
        <v>Twitter for Android</v>
      </c>
      <c r="L32" s="13">
        <v>328</v>
      </c>
      <c r="M32" s="13">
        <v>714</v>
      </c>
      <c r="N32" s="13">
        <v>0</v>
      </c>
      <c r="O32" s="15"/>
      <c r="P32" s="6">
        <v>41128.985324074078</v>
      </c>
      <c r="Q32" s="16" t="s">
        <v>179</v>
      </c>
      <c r="R32" s="17" t="s">
        <v>180</v>
      </c>
      <c r="S32" s="12"/>
      <c r="T32" s="12"/>
      <c r="U32" s="10" t="str">
        <f>HYPERLINK("https://pbs.twimg.com/profile_images/814969937630547968/sMywYyT8.jpg","View")</f>
        <v>View</v>
      </c>
    </row>
    <row r="33" spans="1:21" ht="61.2">
      <c r="A33" s="6">
        <v>43427.429907407408</v>
      </c>
      <c r="B33" s="7" t="str">
        <f>HYPERLINK("https://twitter.com/lunadebenidorm","@lunadebenidorm")</f>
        <v>@lunadebenidorm</v>
      </c>
      <c r="C33" s="8" t="s">
        <v>106</v>
      </c>
      <c r="D33" s="9" t="s">
        <v>181</v>
      </c>
      <c r="E33" s="10" t="str">
        <f>HYPERLINK("https://twitter.com/lunadebenidorm/status/1065897508994510848","1065897508994510848")</f>
        <v>1065897508994510848</v>
      </c>
      <c r="F33" s="12"/>
      <c r="G33" s="12"/>
      <c r="H33" s="12"/>
      <c r="I33" s="13">
        <v>0</v>
      </c>
      <c r="J33" s="13">
        <v>1</v>
      </c>
      <c r="K33" s="14" t="str">
        <f t="shared" si="5"/>
        <v>Twitter for Android</v>
      </c>
      <c r="L33" s="13">
        <v>3991</v>
      </c>
      <c r="M33" s="13">
        <v>3978</v>
      </c>
      <c r="N33" s="13">
        <v>79</v>
      </c>
      <c r="O33" s="15"/>
      <c r="P33" s="6">
        <v>41461.81186342593</v>
      </c>
      <c r="Q33" s="12"/>
      <c r="R33" s="17" t="s">
        <v>108</v>
      </c>
      <c r="S33" s="12"/>
      <c r="T33" s="12"/>
      <c r="U33" s="10" t="str">
        <f>HYPERLINK("https://pbs.twimg.com/profile_images/1061229593758257153/rePCQt08.jpg","View")</f>
        <v>View</v>
      </c>
    </row>
    <row r="34" spans="1:21" ht="40.799999999999997">
      <c r="A34" s="6">
        <v>43427.426122685181</v>
      </c>
      <c r="B34" s="7" t="str">
        <f>HYPERLINK("https://twitter.com/Santi_ABASCAL","@Santi_ABASCAL")</f>
        <v>@Santi_ABASCAL</v>
      </c>
      <c r="C34" s="8" t="s">
        <v>182</v>
      </c>
      <c r="D34" s="9" t="s">
        <v>183</v>
      </c>
      <c r="E34" s="10" t="str">
        <f>HYPERLINK("https://twitter.com/Santi_ABASCAL/status/1065896138623062016","1065896138623062016")</f>
        <v>1065896138623062016</v>
      </c>
      <c r="F34" s="11" t="s">
        <v>184</v>
      </c>
      <c r="G34" s="12"/>
      <c r="H34" s="12"/>
      <c r="I34" s="13">
        <v>829</v>
      </c>
      <c r="J34" s="13">
        <v>1518</v>
      </c>
      <c r="K34" s="14" t="str">
        <f t="shared" si="5"/>
        <v>Twitter for Android</v>
      </c>
      <c r="L34" s="13">
        <v>117602</v>
      </c>
      <c r="M34" s="13">
        <v>3896</v>
      </c>
      <c r="N34" s="13">
        <v>915</v>
      </c>
      <c r="O34" s="23" t="s">
        <v>186</v>
      </c>
      <c r="P34" s="6">
        <v>40606.716446759259</v>
      </c>
      <c r="Q34" s="16" t="s">
        <v>188</v>
      </c>
      <c r="R34" s="17" t="s">
        <v>189</v>
      </c>
      <c r="S34" s="11" t="s">
        <v>190</v>
      </c>
      <c r="T34" s="12"/>
      <c r="U34" s="10" t="str">
        <f>HYPERLINK("https://pbs.twimg.com/profile_images/1010488787686879232/2CnqYKlD.jpg","View")</f>
        <v>View</v>
      </c>
    </row>
    <row r="35" spans="1:21" ht="61.2">
      <c r="A35" s="6">
        <v>43427.422418981485</v>
      </c>
      <c r="B35" s="7" t="str">
        <f>HYPERLINK("https://twitter.com/miquelcasals4","@miquelcasals4")</f>
        <v>@miquelcasals4</v>
      </c>
      <c r="C35" s="8" t="s">
        <v>191</v>
      </c>
      <c r="D35" s="9" t="s">
        <v>192</v>
      </c>
      <c r="E35" s="10" t="str">
        <f>HYPERLINK("https://twitter.com/miquelcasals4/status/1065894796563279872","1065894796563279872")</f>
        <v>1065894796563279872</v>
      </c>
      <c r="F35" s="12"/>
      <c r="G35" s="12"/>
      <c r="H35" s="12"/>
      <c r="I35" s="13">
        <v>1</v>
      </c>
      <c r="J35" s="13">
        <v>1</v>
      </c>
      <c r="K35" s="14" t="str">
        <f>HYPERLINK("http://twitter.com","Twitter Web Client")</f>
        <v>Twitter Web Client</v>
      </c>
      <c r="L35" s="13">
        <v>912</v>
      </c>
      <c r="M35" s="13">
        <v>875</v>
      </c>
      <c r="N35" s="13">
        <v>0</v>
      </c>
      <c r="O35" s="15"/>
      <c r="P35" s="6">
        <v>43249.467303240745</v>
      </c>
      <c r="Q35" s="16" t="s">
        <v>193</v>
      </c>
      <c r="R35" s="17" t="s">
        <v>194</v>
      </c>
      <c r="S35" s="12"/>
      <c r="T35" s="12"/>
      <c r="U35" s="10" t="str">
        <f>HYPERLINK("https://pbs.twimg.com/profile_images/1060873696305467393/tMwySVyk.jpg","View")</f>
        <v>View</v>
      </c>
    </row>
    <row r="36" spans="1:21" ht="81.599999999999994">
      <c r="A36" s="6">
        <v>43427.42123842593</v>
      </c>
      <c r="B36" s="7" t="str">
        <f>HYPERLINK("https://twitter.com/PekenhoPonfe","@PekenhoPonfe")</f>
        <v>@PekenhoPonfe</v>
      </c>
      <c r="C36" s="8" t="s">
        <v>195</v>
      </c>
      <c r="D36" s="9" t="s">
        <v>196</v>
      </c>
      <c r="E36" s="10" t="str">
        <f>HYPERLINK("https://twitter.com/PekenhoPonfe/status/1065894368932962304","1065894368932962304")</f>
        <v>1065894368932962304</v>
      </c>
      <c r="F36" s="11" t="s">
        <v>199</v>
      </c>
      <c r="G36" s="11" t="s">
        <v>200</v>
      </c>
      <c r="H36" s="12"/>
      <c r="I36" s="13">
        <v>0</v>
      </c>
      <c r="J36" s="13">
        <v>0</v>
      </c>
      <c r="K36" s="14" t="str">
        <f>HYPERLINK("http://twitter.com/download/android","Twitter for Android")</f>
        <v>Twitter for Android</v>
      </c>
      <c r="L36" s="13">
        <v>134</v>
      </c>
      <c r="M36" s="13">
        <v>699</v>
      </c>
      <c r="N36" s="13">
        <v>5</v>
      </c>
      <c r="O36" s="15"/>
      <c r="P36" s="6">
        <v>40896.769062499996</v>
      </c>
      <c r="Q36" s="16" t="s">
        <v>201</v>
      </c>
      <c r="R36" s="17" t="s">
        <v>202</v>
      </c>
      <c r="S36" s="12"/>
      <c r="T36" s="12"/>
      <c r="U36" s="10" t="str">
        <f>HYPERLINK("https://pbs.twimg.com/profile_images/1702524057/escanear0001.jpg","View")</f>
        <v>View</v>
      </c>
    </row>
    <row r="37" spans="1:21" ht="71.400000000000006">
      <c r="A37" s="6">
        <v>43427.415243055555</v>
      </c>
      <c r="B37" s="7" t="str">
        <f>HYPERLINK("https://twitter.com/Denna12_0","@Denna12_0")</f>
        <v>@Denna12_0</v>
      </c>
      <c r="C37" s="8" t="s">
        <v>203</v>
      </c>
      <c r="D37" s="9" t="s">
        <v>204</v>
      </c>
      <c r="E37" s="10" t="str">
        <f>HYPERLINK("https://twitter.com/Denna12_0/status/1065892194060517382","1065892194060517382")</f>
        <v>1065892194060517382</v>
      </c>
      <c r="F37" s="16" t="s">
        <v>205</v>
      </c>
      <c r="G37" s="11" t="s">
        <v>206</v>
      </c>
      <c r="H37" s="12"/>
      <c r="I37" s="13">
        <v>0</v>
      </c>
      <c r="J37" s="13">
        <v>0</v>
      </c>
      <c r="K37" s="14" t="str">
        <f>HYPERLINK("http://twitter.com/download/iphone","Twitter for iPhone")</f>
        <v>Twitter for iPhone</v>
      </c>
      <c r="L37" s="13">
        <v>747</v>
      </c>
      <c r="M37" s="13">
        <v>497</v>
      </c>
      <c r="N37" s="13">
        <v>2</v>
      </c>
      <c r="O37" s="15"/>
      <c r="P37" s="6">
        <v>43099.739201388889</v>
      </c>
      <c r="Q37" s="16" t="s">
        <v>207</v>
      </c>
      <c r="R37" s="17" t="s">
        <v>208</v>
      </c>
      <c r="S37" s="12"/>
      <c r="T37" s="12"/>
      <c r="U37" s="10" t="str">
        <f>HYPERLINK("https://pbs.twimg.com/profile_images/1064284473083289601/0C4W63pS.jpg","View")</f>
        <v>View</v>
      </c>
    </row>
    <row r="38" spans="1:21" ht="40.799999999999997">
      <c r="A38" s="6">
        <v>43427.414930555555</v>
      </c>
      <c r="B38" s="7" t="str">
        <f>HYPERLINK("https://twitter.com/luisbeltri","@luisbeltri")</f>
        <v>@luisbeltri</v>
      </c>
      <c r="C38" s="8" t="s">
        <v>86</v>
      </c>
      <c r="D38" s="9" t="s">
        <v>209</v>
      </c>
      <c r="E38" s="10" t="str">
        <f>HYPERLINK("https://twitter.com/luisbeltri/status/1065892081619607557","1065892081619607557")</f>
        <v>1065892081619607557</v>
      </c>
      <c r="F38" s="12"/>
      <c r="G38" s="12"/>
      <c r="H38" s="12"/>
      <c r="I38" s="13">
        <v>0</v>
      </c>
      <c r="J38" s="13">
        <v>3</v>
      </c>
      <c r="K38" s="14" t="str">
        <f>HYPERLINK("http://twitter.com/download/android","Twitter for Android")</f>
        <v>Twitter for Android</v>
      </c>
      <c r="L38" s="13">
        <v>28078</v>
      </c>
      <c r="M38" s="13">
        <v>18407</v>
      </c>
      <c r="N38" s="13">
        <v>195</v>
      </c>
      <c r="O38" s="15"/>
      <c r="P38" s="6">
        <v>40018.954016203701</v>
      </c>
      <c r="Q38" s="16" t="s">
        <v>88</v>
      </c>
      <c r="R38" s="17" t="s">
        <v>89</v>
      </c>
      <c r="S38" s="12"/>
      <c r="T38" s="12"/>
      <c r="U38" s="10" t="str">
        <f>HYPERLINK("https://pbs.twimg.com/profile_images/1028220595404787712/uTQd5ZiU.jpg","View")</f>
        <v>View</v>
      </c>
    </row>
    <row r="39" spans="1:21" ht="40.799999999999997">
      <c r="A39" s="6">
        <v>43427.412083333329</v>
      </c>
      <c r="B39" s="7" t="str">
        <f>HYPERLINK("https://twitter.com/St_GabrielXXV","@St_GabrielXXV")</f>
        <v>@St_GabrielXXV</v>
      </c>
      <c r="C39" s="8" t="s">
        <v>210</v>
      </c>
      <c r="D39" s="9" t="s">
        <v>211</v>
      </c>
      <c r="E39" s="10" t="str">
        <f>HYPERLINK("https://twitter.com/St_GabrielXXV/status/1065891052928811009","1065891052928811009")</f>
        <v>1065891052928811009</v>
      </c>
      <c r="F39" s="12"/>
      <c r="G39" s="11" t="s">
        <v>212</v>
      </c>
      <c r="H39" s="12"/>
      <c r="I39" s="13">
        <v>0</v>
      </c>
      <c r="J39" s="13">
        <v>1</v>
      </c>
      <c r="K39" s="14" t="str">
        <f>HYPERLINK("https://mobile.twitter.com","Twitter Lite")</f>
        <v>Twitter Lite</v>
      </c>
      <c r="L39" s="13">
        <v>69</v>
      </c>
      <c r="M39" s="13">
        <v>100</v>
      </c>
      <c r="N39" s="13">
        <v>0</v>
      </c>
      <c r="O39" s="15"/>
      <c r="P39" s="6">
        <v>43384.63144675926</v>
      </c>
      <c r="Q39" s="12"/>
      <c r="R39" s="17" t="s">
        <v>213</v>
      </c>
      <c r="S39" s="12"/>
      <c r="T39" s="12"/>
      <c r="U39" s="10" t="str">
        <f>HYPERLINK("https://pbs.twimg.com/profile_images/1061697512539648002/u95AyImU.jpg","View")</f>
        <v>View</v>
      </c>
    </row>
    <row r="40" spans="1:21" ht="30.6">
      <c r="A40" s="6">
        <v>43427.405925925923</v>
      </c>
      <c r="B40" s="7" t="str">
        <f>HYPERLINK("https://twitter.com/pacohortado","@pacohortado")</f>
        <v>@pacohortado</v>
      </c>
      <c r="C40" s="8" t="s">
        <v>215</v>
      </c>
      <c r="D40" s="9" t="s">
        <v>216</v>
      </c>
      <c r="E40" s="10" t="str">
        <f>HYPERLINK("https://twitter.com/pacohortado/status/1065888820170768387","1065888820170768387")</f>
        <v>1065888820170768387</v>
      </c>
      <c r="F40" s="12"/>
      <c r="G40" s="12"/>
      <c r="H40" s="12"/>
      <c r="I40" s="13">
        <v>3</v>
      </c>
      <c r="J40" s="13">
        <v>3</v>
      </c>
      <c r="K40" s="14" t="str">
        <f>HYPERLINK("http://twitter.com/download/android","Twitter for Android")</f>
        <v>Twitter for Android</v>
      </c>
      <c r="L40" s="13">
        <v>2494</v>
      </c>
      <c r="M40" s="13">
        <v>1906</v>
      </c>
      <c r="N40" s="13">
        <v>47</v>
      </c>
      <c r="O40" s="15"/>
      <c r="P40" s="6">
        <v>40957.884305555555</v>
      </c>
      <c r="Q40" s="12"/>
      <c r="R40" s="17" t="s">
        <v>217</v>
      </c>
      <c r="S40" s="12"/>
      <c r="T40" s="12"/>
      <c r="U40" s="10" t="str">
        <f>HYPERLINK("https://pbs.twimg.com/profile_images/614868273948180480/ByNs7DtV.png","View")</f>
        <v>View</v>
      </c>
    </row>
    <row r="41" spans="1:21" ht="40.799999999999997">
      <c r="A41" s="6">
        <v>43427.396145833336</v>
      </c>
      <c r="B41" s="7" t="str">
        <f>HYPERLINK("https://twitter.com/loq_digalarubia","@loq_digalarubia")</f>
        <v>@loq_digalarubia</v>
      </c>
      <c r="C41" s="8" t="s">
        <v>219</v>
      </c>
      <c r="D41" s="9" t="s">
        <v>220</v>
      </c>
      <c r="E41" s="10" t="str">
        <f>HYPERLINK("https://twitter.com/loq_digalarubia/status/1065885277045039105","1065885277045039105")</f>
        <v>1065885277045039105</v>
      </c>
      <c r="F41" s="12"/>
      <c r="G41" s="12"/>
      <c r="H41" s="12"/>
      <c r="I41" s="13">
        <v>2</v>
      </c>
      <c r="J41" s="13">
        <v>7</v>
      </c>
      <c r="K41" s="14" t="str">
        <f t="shared" ref="K41:K42" si="6">HYPERLINK("http://twitter.com/download/iphone","Twitter for iPhone")</f>
        <v>Twitter for iPhone</v>
      </c>
      <c r="L41" s="13">
        <v>1083</v>
      </c>
      <c r="M41" s="13">
        <v>993</v>
      </c>
      <c r="N41" s="13">
        <v>10</v>
      </c>
      <c r="O41" s="15"/>
      <c r="P41" s="6">
        <v>41441.616898148146</v>
      </c>
      <c r="Q41" s="16" t="s">
        <v>221</v>
      </c>
      <c r="R41" s="17" t="s">
        <v>222</v>
      </c>
      <c r="S41" s="12"/>
      <c r="T41" s="12"/>
      <c r="U41" s="10" t="str">
        <f>HYPERLINK("https://pbs.twimg.com/profile_images/497381656958074880/EhBuuyQC.jpeg","View")</f>
        <v>View</v>
      </c>
    </row>
    <row r="42" spans="1:21" ht="61.2">
      <c r="A42" s="6">
        <v>43427.394560185188</v>
      </c>
      <c r="B42" s="7" t="str">
        <f>HYPERLINK("https://twitter.com/pablomessia","@pablomessia")</f>
        <v>@pablomessia</v>
      </c>
      <c r="C42" s="8" t="s">
        <v>223</v>
      </c>
      <c r="D42" s="9" t="s">
        <v>224</v>
      </c>
      <c r="E42" s="10" t="str">
        <f>HYPERLINK("https://twitter.com/pablomessia/status/1065884700215046145","1065884700215046145")</f>
        <v>1065884700215046145</v>
      </c>
      <c r="F42" s="12"/>
      <c r="G42" s="12"/>
      <c r="H42" s="12"/>
      <c r="I42" s="13">
        <v>0</v>
      </c>
      <c r="J42" s="13">
        <v>1</v>
      </c>
      <c r="K42" s="14" t="str">
        <f t="shared" si="6"/>
        <v>Twitter for iPhone</v>
      </c>
      <c r="L42" s="13">
        <v>1687</v>
      </c>
      <c r="M42" s="13">
        <v>2316</v>
      </c>
      <c r="N42" s="13">
        <v>26</v>
      </c>
      <c r="O42" s="15"/>
      <c r="P42" s="6">
        <v>40831.736319444448</v>
      </c>
      <c r="Q42" s="16" t="s">
        <v>225</v>
      </c>
      <c r="R42" s="17" t="s">
        <v>226</v>
      </c>
      <c r="S42" s="12"/>
      <c r="T42" s="12"/>
      <c r="U42" s="10" t="str">
        <f>HYPERLINK("https://pbs.twimg.com/profile_images/620509329783975936/-dXeex4V.jpg","View")</f>
        <v>View</v>
      </c>
    </row>
    <row r="43" spans="1:21" ht="40.799999999999997">
      <c r="A43" s="6">
        <v>43427.394143518519</v>
      </c>
      <c r="B43" s="7" t="str">
        <f>HYPERLINK("https://twitter.com/FraJeremies","@FraJeremies")</f>
        <v>@FraJeremies</v>
      </c>
      <c r="C43" s="8" t="s">
        <v>227</v>
      </c>
      <c r="D43" s="9" t="s">
        <v>228</v>
      </c>
      <c r="E43" s="10" t="str">
        <f>HYPERLINK("https://twitter.com/FraJeremies/status/1065884547915620353","1065884547915620353")</f>
        <v>1065884547915620353</v>
      </c>
      <c r="F43" s="11" t="s">
        <v>229</v>
      </c>
      <c r="G43" s="11" t="s">
        <v>230</v>
      </c>
      <c r="H43" s="12"/>
      <c r="I43" s="13">
        <v>3</v>
      </c>
      <c r="J43" s="13">
        <v>6</v>
      </c>
      <c r="K43" s="14" t="str">
        <f>HYPERLINK("http://twitter.com","Twitter Web Client")</f>
        <v>Twitter Web Client</v>
      </c>
      <c r="L43" s="13">
        <v>16609</v>
      </c>
      <c r="M43" s="13">
        <v>1800</v>
      </c>
      <c r="N43" s="13">
        <v>88</v>
      </c>
      <c r="O43" s="15"/>
      <c r="P43" s="6">
        <v>42320.683935185181</v>
      </c>
      <c r="Q43" s="16" t="s">
        <v>231</v>
      </c>
      <c r="R43" s="17" t="s">
        <v>232</v>
      </c>
      <c r="S43" s="11" t="s">
        <v>233</v>
      </c>
      <c r="T43" s="12"/>
      <c r="U43" s="10" t="str">
        <f>HYPERLINK("https://pbs.twimg.com/profile_images/1025388516434472960/sZCimdGW.jpg","View")</f>
        <v>View</v>
      </c>
    </row>
    <row r="44" spans="1:21" ht="51">
      <c r="A44" s="6">
        <v>43427.391724537039</v>
      </c>
      <c r="B44" s="7" t="str">
        <f>HYPERLINK("https://twitter.com/voxnoticias_es","@voxnoticias_es")</f>
        <v>@voxnoticias_es</v>
      </c>
      <c r="C44" s="8" t="s">
        <v>234</v>
      </c>
      <c r="D44" s="9" t="s">
        <v>235</v>
      </c>
      <c r="E44" s="10" t="str">
        <f>HYPERLINK("https://twitter.com/voxnoticias_es/status/1065883672103067656","1065883672103067656")</f>
        <v>1065883672103067656</v>
      </c>
      <c r="F44" s="12"/>
      <c r="G44" s="11" t="s">
        <v>237</v>
      </c>
      <c r="H44" s="12"/>
      <c r="I44" s="13">
        <v>127</v>
      </c>
      <c r="J44" s="13">
        <v>169</v>
      </c>
      <c r="K44" s="14" t="str">
        <f t="shared" ref="K44:K45" si="7">HYPERLINK("http://twitter.com/download/android","Twitter for Android")</f>
        <v>Twitter for Android</v>
      </c>
      <c r="L44" s="13">
        <v>19279</v>
      </c>
      <c r="M44" s="13">
        <v>2124</v>
      </c>
      <c r="N44" s="13">
        <v>136</v>
      </c>
      <c r="O44" s="15"/>
      <c r="P44" s="6">
        <v>41687.875428240739</v>
      </c>
      <c r="Q44" s="16" t="s">
        <v>238</v>
      </c>
      <c r="R44" s="17" t="s">
        <v>239</v>
      </c>
      <c r="S44" s="11" t="s">
        <v>240</v>
      </c>
      <c r="T44" s="12"/>
      <c r="U44" s="10" t="str">
        <f>HYPERLINK("https://pbs.twimg.com/profile_images/900432165195980801/-2-6PzuU.jpg","View")</f>
        <v>View</v>
      </c>
    </row>
    <row r="45" spans="1:21" ht="61.2">
      <c r="A45" s="6">
        <v>43427.391099537039</v>
      </c>
      <c r="B45" s="7" t="str">
        <f>HYPERLINK("https://twitter.com/Jam1Juan","@Jam1Juan")</f>
        <v>@Jam1Juan</v>
      </c>
      <c r="C45" s="8" t="s">
        <v>241</v>
      </c>
      <c r="D45" s="9" t="s">
        <v>242</v>
      </c>
      <c r="E45" s="10" t="str">
        <f>HYPERLINK("https://twitter.com/Jam1Juan/status/1065883447749722112","1065883447749722112")</f>
        <v>1065883447749722112</v>
      </c>
      <c r="F45" s="12"/>
      <c r="G45" s="12"/>
      <c r="H45" s="12"/>
      <c r="I45" s="13">
        <v>4</v>
      </c>
      <c r="J45" s="13">
        <v>5</v>
      </c>
      <c r="K45" s="14" t="str">
        <f t="shared" si="7"/>
        <v>Twitter for Android</v>
      </c>
      <c r="L45" s="13">
        <v>7882</v>
      </c>
      <c r="M45" s="13">
        <v>6326</v>
      </c>
      <c r="N45" s="13">
        <v>94</v>
      </c>
      <c r="O45" s="15"/>
      <c r="P45" s="6">
        <v>41130.512592592597</v>
      </c>
      <c r="Q45" s="16" t="s">
        <v>244</v>
      </c>
      <c r="R45" s="17" t="s">
        <v>245</v>
      </c>
      <c r="S45" s="12"/>
      <c r="T45" s="12"/>
      <c r="U45" s="10" t="str">
        <f>HYPERLINK("https://pbs.twimg.com/profile_images/742352397314314240/2R45Yx63.jpg","View")</f>
        <v>View</v>
      </c>
    </row>
    <row r="46" spans="1:21" ht="20.399999999999999">
      <c r="A46" s="6">
        <v>43427.387858796297</v>
      </c>
      <c r="B46" s="7" t="str">
        <f t="shared" ref="B46:B47" si="8">HYPERLINK("https://twitter.com/elhuron2","@elhuron2")</f>
        <v>@elhuron2</v>
      </c>
      <c r="C46" s="8" t="s">
        <v>246</v>
      </c>
      <c r="D46" s="9" t="s">
        <v>247</v>
      </c>
      <c r="E46" s="10" t="str">
        <f>HYPERLINK("https://twitter.com/elhuron2/status/1065882270358228992","1065882270358228992")</f>
        <v>1065882270358228992</v>
      </c>
      <c r="F46" s="11" t="s">
        <v>248</v>
      </c>
      <c r="G46" s="12"/>
      <c r="H46" s="12"/>
      <c r="I46" s="13">
        <v>0</v>
      </c>
      <c r="J46" s="13">
        <v>0</v>
      </c>
      <c r="K46" s="14" t="str">
        <f t="shared" ref="K46:K47" si="9">HYPERLINK("https://www.google.com/","Google")</f>
        <v>Google</v>
      </c>
      <c r="L46" s="13">
        <v>408</v>
      </c>
      <c r="M46" s="13">
        <v>496</v>
      </c>
      <c r="N46" s="13">
        <v>6</v>
      </c>
      <c r="O46" s="15"/>
      <c r="P46" s="6">
        <v>41869.952997685185</v>
      </c>
      <c r="Q46" s="16" t="s">
        <v>249</v>
      </c>
      <c r="R46" s="17" t="s">
        <v>250</v>
      </c>
      <c r="S46" s="11" t="s">
        <v>251</v>
      </c>
      <c r="T46" s="12"/>
      <c r="U46" s="10" t="str">
        <f t="shared" ref="U46:U47" si="10">HYPERLINK("https://pbs.twimg.com/profile_images/803176150629515264/heYiZScX.jpg","View")</f>
        <v>View</v>
      </c>
    </row>
    <row r="47" spans="1:21" ht="20.399999999999999">
      <c r="A47" s="6">
        <v>43427.385706018518</v>
      </c>
      <c r="B47" s="7" t="str">
        <f t="shared" si="8"/>
        <v>@elhuron2</v>
      </c>
      <c r="C47" s="8" t="s">
        <v>246</v>
      </c>
      <c r="D47" s="9" t="s">
        <v>252</v>
      </c>
      <c r="E47" s="10" t="str">
        <f>HYPERLINK("https://twitter.com/elhuron2/status/1065881491253731328","1065881491253731328")</f>
        <v>1065881491253731328</v>
      </c>
      <c r="F47" s="11" t="s">
        <v>248</v>
      </c>
      <c r="G47" s="12"/>
      <c r="H47" s="12"/>
      <c r="I47" s="13">
        <v>0</v>
      </c>
      <c r="J47" s="13">
        <v>0</v>
      </c>
      <c r="K47" s="14" t="str">
        <f t="shared" si="9"/>
        <v>Google</v>
      </c>
      <c r="L47" s="13">
        <v>408</v>
      </c>
      <c r="M47" s="13">
        <v>496</v>
      </c>
      <c r="N47" s="13">
        <v>6</v>
      </c>
      <c r="O47" s="15"/>
      <c r="P47" s="6">
        <v>41869.952997685185</v>
      </c>
      <c r="Q47" s="16" t="s">
        <v>249</v>
      </c>
      <c r="R47" s="17" t="s">
        <v>250</v>
      </c>
      <c r="S47" s="11" t="s">
        <v>251</v>
      </c>
      <c r="T47" s="12"/>
      <c r="U47" s="10" t="str">
        <f t="shared" si="10"/>
        <v>View</v>
      </c>
    </row>
    <row r="48" spans="1:21" ht="51">
      <c r="A48" s="6">
        <v>43427.377256944441</v>
      </c>
      <c r="B48" s="7" t="str">
        <f>HYPERLINK("https://twitter.com/Tabarnesandaluz","@Tabarnesandaluz")</f>
        <v>@Tabarnesandaluz</v>
      </c>
      <c r="C48" s="8" t="s">
        <v>253</v>
      </c>
      <c r="D48" s="9" t="s">
        <v>254</v>
      </c>
      <c r="E48" s="10" t="str">
        <f>HYPERLINK("https://twitter.com/Tabarnesandaluz/status/1065878431198515201","1065878431198515201")</f>
        <v>1065878431198515201</v>
      </c>
      <c r="F48" s="12"/>
      <c r="G48" s="11" t="s">
        <v>255</v>
      </c>
      <c r="H48" s="12"/>
      <c r="I48" s="13">
        <v>0</v>
      </c>
      <c r="J48" s="13">
        <v>0</v>
      </c>
      <c r="K48" s="14" t="str">
        <f t="shared" ref="K48:K49" si="11">HYPERLINK("http://twitter.com/download/android","Twitter for Android")</f>
        <v>Twitter for Android</v>
      </c>
      <c r="L48" s="13">
        <v>341</v>
      </c>
      <c r="M48" s="13">
        <v>747</v>
      </c>
      <c r="N48" s="13">
        <v>2</v>
      </c>
      <c r="O48" s="15"/>
      <c r="P48" s="6">
        <v>41682.493055555555</v>
      </c>
      <c r="Q48" s="12"/>
      <c r="R48" s="17" t="s">
        <v>256</v>
      </c>
      <c r="S48" s="12"/>
      <c r="T48" s="12"/>
      <c r="U48" s="10" t="str">
        <f>HYPERLINK("https://pbs.twimg.com/profile_images/1024604531127214080/bFQtIgCY.jpg","View")</f>
        <v>View</v>
      </c>
    </row>
    <row r="49" spans="1:21" ht="61.2">
      <c r="A49" s="6">
        <v>43427.357754629629</v>
      </c>
      <c r="B49" s="7" t="str">
        <f>HYPERLINK("https://twitter.com/Jolu1970Jose","@Jolu1970Jose")</f>
        <v>@Jolu1970Jose</v>
      </c>
      <c r="C49" s="8" t="s">
        <v>168</v>
      </c>
      <c r="D49" s="9" t="s">
        <v>258</v>
      </c>
      <c r="E49" s="10" t="str">
        <f>HYPERLINK("https://twitter.com/Jolu1970Jose/status/1065871362781265921","1065871362781265921")</f>
        <v>1065871362781265921</v>
      </c>
      <c r="F49" s="12"/>
      <c r="G49" s="12"/>
      <c r="H49" s="12"/>
      <c r="I49" s="13">
        <v>0</v>
      </c>
      <c r="J49" s="13">
        <v>12</v>
      </c>
      <c r="K49" s="14" t="str">
        <f t="shared" si="11"/>
        <v>Twitter for Android</v>
      </c>
      <c r="L49" s="13">
        <v>2345</v>
      </c>
      <c r="M49" s="13">
        <v>2493</v>
      </c>
      <c r="N49" s="13">
        <v>22</v>
      </c>
      <c r="O49" s="15"/>
      <c r="P49" s="6">
        <v>40681.964178240742</v>
      </c>
      <c r="Q49" s="12"/>
      <c r="R49" s="17" t="s">
        <v>171</v>
      </c>
      <c r="S49" s="12"/>
      <c r="T49" s="12"/>
      <c r="U49" s="10" t="str">
        <f>HYPERLINK("https://pbs.twimg.com/profile_images/997194518444175360/dnaJJ08L.jpg","View")</f>
        <v>View</v>
      </c>
    </row>
    <row r="50" spans="1:21" ht="30.6">
      <c r="A50" s="6">
        <v>43427.352870370371</v>
      </c>
      <c r="B50" s="7" t="str">
        <f>HYPERLINK("https://twitter.com/beamiguez_","@beamiguez_")</f>
        <v>@beamiguez_</v>
      </c>
      <c r="C50" s="8" t="s">
        <v>261</v>
      </c>
      <c r="D50" s="9" t="s">
        <v>262</v>
      </c>
      <c r="E50" s="10" t="str">
        <f>HYPERLINK("https://twitter.com/beamiguez_/status/1065869593636495361","1065869593636495361")</f>
        <v>1065869593636495361</v>
      </c>
      <c r="F50" s="12"/>
      <c r="G50" s="12"/>
      <c r="H50" s="12"/>
      <c r="I50" s="13">
        <v>0</v>
      </c>
      <c r="J50" s="13">
        <v>1</v>
      </c>
      <c r="K50" s="14" t="str">
        <f>HYPERLINK("https://mobile.twitter.com","Twitter Lite")</f>
        <v>Twitter Lite</v>
      </c>
      <c r="L50" s="13">
        <v>87</v>
      </c>
      <c r="M50" s="13">
        <v>175</v>
      </c>
      <c r="N50" s="13">
        <v>0</v>
      </c>
      <c r="O50" s="15"/>
      <c r="P50" s="6">
        <v>43233.713217592594</v>
      </c>
      <c r="Q50" s="16" t="s">
        <v>263</v>
      </c>
      <c r="R50" s="17" t="s">
        <v>264</v>
      </c>
      <c r="S50" s="12"/>
      <c r="T50" s="12"/>
      <c r="U50" s="10" t="str">
        <f>HYPERLINK("https://pbs.twimg.com/profile_images/999760021704462336/Nl5Rde4t.jpg","View")</f>
        <v>View</v>
      </c>
    </row>
    <row r="51" spans="1:21" ht="51">
      <c r="A51" s="6">
        <v>43427.338194444441</v>
      </c>
      <c r="B51" s="7" t="str">
        <f>HYPERLINK("https://twitter.com/trendinaliaES","@trendinaliaES")</f>
        <v>@trendinaliaES</v>
      </c>
      <c r="C51" s="8" t="s">
        <v>265</v>
      </c>
      <c r="D51" s="9" t="s">
        <v>266</v>
      </c>
      <c r="E51" s="10" t="str">
        <f>HYPERLINK("https://twitter.com/trendinaliaES/status/1065864273295896576","1065864273295896576")</f>
        <v>1065864273295896576</v>
      </c>
      <c r="F51" s="11" t="s">
        <v>267</v>
      </c>
      <c r="G51" s="12"/>
      <c r="H51" s="12" t="str">
        <f>HYPERLINK("https://ctrlq.org/maps/address/#40.4203,-3.7058","Map")</f>
        <v>Map</v>
      </c>
      <c r="I51" s="13">
        <v>0</v>
      </c>
      <c r="J51" s="13">
        <v>0</v>
      </c>
      <c r="K51" s="14" t="str">
        <f>HYPERLINK("http://laconversa.com","Es Tendencia en España")</f>
        <v>Es Tendencia en España</v>
      </c>
      <c r="L51" s="13">
        <v>49141</v>
      </c>
      <c r="M51" s="13">
        <v>37</v>
      </c>
      <c r="N51" s="13">
        <v>723</v>
      </c>
      <c r="O51" s="23" t="s">
        <v>186</v>
      </c>
      <c r="P51" s="6">
        <v>41319.819074074076</v>
      </c>
      <c r="Q51" s="16" t="s">
        <v>66</v>
      </c>
      <c r="R51" s="17" t="s">
        <v>268</v>
      </c>
      <c r="S51" s="11" t="s">
        <v>269</v>
      </c>
      <c r="T51" s="12"/>
      <c r="U51" s="10" t="str">
        <f>HYPERLINK("https://pbs.twimg.com/profile_images/696485210821632000/xpdMQ_mE.png","View")</f>
        <v>View</v>
      </c>
    </row>
    <row r="52" spans="1:21" ht="51">
      <c r="A52" s="6">
        <v>43427.327106481476</v>
      </c>
      <c r="B52" s="7" t="str">
        <f>HYPERLINK("https://twitter.com/psolidaridad","@psolidaridad")</f>
        <v>@psolidaridad</v>
      </c>
      <c r="C52" s="8" t="s">
        <v>270</v>
      </c>
      <c r="D52" s="9" t="s">
        <v>271</v>
      </c>
      <c r="E52" s="10" t="str">
        <f>HYPERLINK("https://twitter.com/psolidaridad/status/1065860254993399808","1065860254993399808")</f>
        <v>1065860254993399808</v>
      </c>
      <c r="F52" s="12"/>
      <c r="G52" s="12"/>
      <c r="H52" s="12"/>
      <c r="I52" s="13">
        <v>0</v>
      </c>
      <c r="J52" s="13">
        <v>0</v>
      </c>
      <c r="K52" s="14" t="str">
        <f t="shared" ref="K52:K53" si="12">HYPERLINK("http://twitter.com/download/android","Twitter for Android")</f>
        <v>Twitter for Android</v>
      </c>
      <c r="L52" s="13">
        <v>1542</v>
      </c>
      <c r="M52" s="13">
        <v>4648</v>
      </c>
      <c r="N52" s="13">
        <v>1</v>
      </c>
      <c r="O52" s="15"/>
      <c r="P52" s="6">
        <v>41803.502372685187</v>
      </c>
      <c r="Q52" s="12"/>
      <c r="R52" s="17" t="s">
        <v>272</v>
      </c>
      <c r="S52" s="12"/>
      <c r="T52" s="12"/>
      <c r="U52" s="10" t="str">
        <f>HYPERLINK("https://pbs.twimg.com/profile_images/1030394358397317120/oQ0F2vnz.jpg","View")</f>
        <v>View</v>
      </c>
    </row>
    <row r="53" spans="1:21" ht="30.6">
      <c r="A53" s="6">
        <v>43427.32303240741</v>
      </c>
      <c r="B53" s="7" t="str">
        <f>HYPERLINK("https://twitter.com/COJONESAZUL","@COJONESAZUL")</f>
        <v>@COJONESAZUL</v>
      </c>
      <c r="C53" s="8" t="s">
        <v>273</v>
      </c>
      <c r="D53" s="9" t="s">
        <v>274</v>
      </c>
      <c r="E53" s="10" t="str">
        <f>HYPERLINK("https://twitter.com/COJONESAZUL/status/1065858780624244737","1065858780624244737")</f>
        <v>1065858780624244737</v>
      </c>
      <c r="F53" s="11" t="s">
        <v>276</v>
      </c>
      <c r="G53" s="12"/>
      <c r="H53" s="12"/>
      <c r="I53" s="13">
        <v>3</v>
      </c>
      <c r="J53" s="13">
        <v>2</v>
      </c>
      <c r="K53" s="14" t="str">
        <f t="shared" si="12"/>
        <v>Twitter for Android</v>
      </c>
      <c r="L53" s="13">
        <v>1745</v>
      </c>
      <c r="M53" s="13">
        <v>1341</v>
      </c>
      <c r="N53" s="13">
        <v>30</v>
      </c>
      <c r="O53" s="15"/>
      <c r="P53" s="6">
        <v>41174.990115740744</v>
      </c>
      <c r="Q53" s="12"/>
      <c r="R53" s="17" t="s">
        <v>277</v>
      </c>
      <c r="S53" s="12"/>
      <c r="T53" s="12"/>
      <c r="U53" s="10" t="str">
        <f>HYPERLINK("https://pbs.twimg.com/profile_images/378800000589378336/1071355845a251e31f6f1c69ee16cda9.jpeg","View")</f>
        <v>View</v>
      </c>
    </row>
    <row r="54" spans="1:21" ht="61.2">
      <c r="A54" s="6">
        <v>43427.317789351851</v>
      </c>
      <c r="B54" s="7" t="str">
        <f>HYPERLINK("https://twitter.com/frndominguez","@frndominguez")</f>
        <v>@frndominguez</v>
      </c>
      <c r="C54" s="8" t="s">
        <v>278</v>
      </c>
      <c r="D54" s="9" t="s">
        <v>279</v>
      </c>
      <c r="E54" s="10" t="str">
        <f>HYPERLINK("https://twitter.com/frndominguez/status/1065856880717778945","1065856880717778945")</f>
        <v>1065856880717778945</v>
      </c>
      <c r="F54" s="12"/>
      <c r="G54" s="12"/>
      <c r="H54" s="12"/>
      <c r="I54" s="13">
        <v>0</v>
      </c>
      <c r="J54" s="13">
        <v>1</v>
      </c>
      <c r="K54" s="14" t="str">
        <f>HYPERLINK("http://twitter.com/download/iphone","Twitter for iPhone")</f>
        <v>Twitter for iPhone</v>
      </c>
      <c r="L54" s="13">
        <v>283</v>
      </c>
      <c r="M54" s="13">
        <v>934</v>
      </c>
      <c r="N54" s="13">
        <v>2</v>
      </c>
      <c r="O54" s="15"/>
      <c r="P54" s="6">
        <v>41094.413564814815</v>
      </c>
      <c r="Q54" s="16" t="s">
        <v>280</v>
      </c>
      <c r="R54" s="17" t="s">
        <v>281</v>
      </c>
      <c r="S54" s="12"/>
      <c r="T54" s="12"/>
      <c r="U54" s="10" t="str">
        <f>HYPERLINK("https://pbs.twimg.com/profile_images/607799324010024961/3zYR_-mh.jpg","View")</f>
        <v>View</v>
      </c>
    </row>
    <row r="55" spans="1:21" ht="61.2">
      <c r="A55" s="6">
        <v>43427.303900462968</v>
      </c>
      <c r="B55" s="7" t="str">
        <f>HYPERLINK("https://twitter.com/UlisesGamez10","@UlisesGamez10")</f>
        <v>@UlisesGamez10</v>
      </c>
      <c r="C55" s="8" t="s">
        <v>23</v>
      </c>
      <c r="D55" s="9" t="s">
        <v>282</v>
      </c>
      <c r="E55" s="10" t="str">
        <f>HYPERLINK("https://twitter.com/UlisesGamez10/status/1065851848719040512","1065851848719040512")</f>
        <v>1065851848719040512</v>
      </c>
      <c r="F55" s="12"/>
      <c r="G55" s="12"/>
      <c r="H55" s="12"/>
      <c r="I55" s="13">
        <v>1</v>
      </c>
      <c r="J55" s="13">
        <v>2</v>
      </c>
      <c r="K55" s="14" t="str">
        <f>HYPERLINK("http://twitter.com/download/android","Twitter for Android")</f>
        <v>Twitter for Android</v>
      </c>
      <c r="L55" s="13">
        <v>1162</v>
      </c>
      <c r="M55" s="13">
        <v>5000</v>
      </c>
      <c r="N55" s="13">
        <v>0</v>
      </c>
      <c r="O55" s="15"/>
      <c r="P55" s="6">
        <v>43190.59783564815</v>
      </c>
      <c r="Q55" s="16" t="s">
        <v>25</v>
      </c>
      <c r="R55" s="17" t="s">
        <v>27</v>
      </c>
      <c r="S55" s="12"/>
      <c r="T55" s="12"/>
      <c r="U55" s="10" t="str">
        <f>HYPERLINK("https://pbs.twimg.com/profile_images/1031158722586980352/ItGPtjBj.jpg","View")</f>
        <v>View</v>
      </c>
    </row>
    <row r="56" spans="1:21" ht="40.799999999999997">
      <c r="A56" s="6">
        <v>43427.297002314815</v>
      </c>
      <c r="B56" s="7" t="str">
        <f>HYPERLINK("https://twitter.com/elentirvigo","@elentirvigo")</f>
        <v>@elentirvigo</v>
      </c>
      <c r="C56" s="8" t="s">
        <v>284</v>
      </c>
      <c r="D56" s="9" t="s">
        <v>285</v>
      </c>
      <c r="E56" s="10" t="str">
        <f>HYPERLINK("https://twitter.com/elentirvigo/status/1065849344887349249","1065849344887349249")</f>
        <v>1065849344887349249</v>
      </c>
      <c r="F56" s="11" t="s">
        <v>286</v>
      </c>
      <c r="G56" s="12"/>
      <c r="H56" s="12"/>
      <c r="I56" s="13">
        <v>139</v>
      </c>
      <c r="J56" s="13">
        <v>189</v>
      </c>
      <c r="K56" s="14" t="str">
        <f>HYPERLINK("http://twitter.com","Twitter Web Client")</f>
        <v>Twitter Web Client</v>
      </c>
      <c r="L56" s="13">
        <v>16446</v>
      </c>
      <c r="M56" s="13">
        <v>897</v>
      </c>
      <c r="N56" s="13">
        <v>407</v>
      </c>
      <c r="O56" s="15"/>
      <c r="P56" s="6">
        <v>39478.091956018521</v>
      </c>
      <c r="Q56" s="16" t="s">
        <v>288</v>
      </c>
      <c r="R56" s="17" t="s">
        <v>289</v>
      </c>
      <c r="S56" s="11" t="s">
        <v>290</v>
      </c>
      <c r="T56" s="12"/>
      <c r="U56" s="10" t="str">
        <f>HYPERLINK("https://pbs.twimg.com/profile_images/921206855178825733/TTl2kiSU.jpg","View")</f>
        <v>View</v>
      </c>
    </row>
    <row r="57" spans="1:21" ht="51">
      <c r="A57" s="6">
        <v>43427.287962962961</v>
      </c>
      <c r="B57" s="7" t="str">
        <f>HYPERLINK("https://twitter.com/Frico75","@Frico75")</f>
        <v>@Frico75</v>
      </c>
      <c r="C57" s="8" t="s">
        <v>291</v>
      </c>
      <c r="D57" s="9" t="s">
        <v>292</v>
      </c>
      <c r="E57" s="10" t="str">
        <f>HYPERLINK("https://twitter.com/Frico75/status/1065846073074348032","1065846073074348032")</f>
        <v>1065846073074348032</v>
      </c>
      <c r="F57" s="12"/>
      <c r="G57" s="12"/>
      <c r="H57" s="12"/>
      <c r="I57" s="13">
        <v>0</v>
      </c>
      <c r="J57" s="13">
        <v>0</v>
      </c>
      <c r="K57" s="14" t="str">
        <f>HYPERLINK("http://twitter.com/download/android","Twitter for Android")</f>
        <v>Twitter for Android</v>
      </c>
      <c r="L57" s="13">
        <v>76</v>
      </c>
      <c r="M57" s="13">
        <v>761</v>
      </c>
      <c r="N57" s="13">
        <v>3</v>
      </c>
      <c r="O57" s="15"/>
      <c r="P57" s="6">
        <v>43015.62981481482</v>
      </c>
      <c r="Q57" s="16" t="s">
        <v>294</v>
      </c>
      <c r="R57" s="17" t="s">
        <v>295</v>
      </c>
      <c r="S57" s="12"/>
      <c r="T57" s="12"/>
      <c r="U57" s="10" t="str">
        <f>HYPERLINK("https://pbs.twimg.com/profile_images/927593642860085248/KsjV5NFb.jpg","View")</f>
        <v>View</v>
      </c>
    </row>
    <row r="58" spans="1:21" ht="40.799999999999997">
      <c r="A58" s="6">
        <v>43427.276655092588</v>
      </c>
      <c r="B58" s="7" t="str">
        <f>HYPERLINK("https://twitter.com/pacotor1900","@pacotor1900")</f>
        <v>@pacotor1900</v>
      </c>
      <c r="C58" s="8" t="s">
        <v>296</v>
      </c>
      <c r="D58" s="9" t="s">
        <v>297</v>
      </c>
      <c r="E58" s="10" t="str">
        <f>HYPERLINK("https://twitter.com/pacotor1900/status/1065841974551474176","1065841974551474176")</f>
        <v>1065841974551474176</v>
      </c>
      <c r="F58" s="12"/>
      <c r="G58" s="11" t="s">
        <v>300</v>
      </c>
      <c r="H58" s="12"/>
      <c r="I58" s="13">
        <v>0</v>
      </c>
      <c r="J58" s="13">
        <v>0</v>
      </c>
      <c r="K58" s="14" t="str">
        <f>HYPERLINK("https://mobile.twitter.com","Twitter Lite")</f>
        <v>Twitter Lite</v>
      </c>
      <c r="L58" s="13">
        <v>111</v>
      </c>
      <c r="M58" s="13">
        <v>166</v>
      </c>
      <c r="N58" s="13">
        <v>2</v>
      </c>
      <c r="O58" s="15"/>
      <c r="P58" s="6">
        <v>40685.898032407407</v>
      </c>
      <c r="Q58" s="16" t="s">
        <v>301</v>
      </c>
      <c r="R58" s="21"/>
      <c r="S58" s="12"/>
      <c r="T58" s="12"/>
      <c r="U58" s="10" t="str">
        <f>HYPERLINK("https://pbs.twimg.com/profile_images/1036359337575440385/r-l_WKnh.jpg","View")</f>
        <v>View</v>
      </c>
    </row>
    <row r="59" spans="1:21" ht="81.599999999999994">
      <c r="A59" s="6">
        <v>43427.161122685182</v>
      </c>
      <c r="B59" s="7" t="str">
        <f>HYPERLINK("https://twitter.com/NelsonRZ33","@NelsonRZ33")</f>
        <v>@NelsonRZ33</v>
      </c>
      <c r="C59" s="8" t="s">
        <v>302</v>
      </c>
      <c r="D59" s="9" t="s">
        <v>303</v>
      </c>
      <c r="E59" s="10" t="str">
        <f>HYPERLINK("https://twitter.com/NelsonRZ33/status/1065800106853769217","1065800106853769217")</f>
        <v>1065800106853769217</v>
      </c>
      <c r="F59" s="16" t="s">
        <v>304</v>
      </c>
      <c r="G59" s="12"/>
      <c r="H59" s="12"/>
      <c r="I59" s="13">
        <v>28</v>
      </c>
      <c r="J59" s="13">
        <v>22</v>
      </c>
      <c r="K59" s="14" t="str">
        <f>HYPERLINK("http://twitter.com/download/android","Twitter for Android")</f>
        <v>Twitter for Android</v>
      </c>
      <c r="L59" s="13">
        <v>3974</v>
      </c>
      <c r="M59" s="13">
        <v>109</v>
      </c>
      <c r="N59" s="13">
        <v>24</v>
      </c>
      <c r="O59" s="15"/>
      <c r="P59" s="6">
        <v>41254.629803240743</v>
      </c>
      <c r="Q59" s="12"/>
      <c r="R59" s="17" t="s">
        <v>306</v>
      </c>
      <c r="S59" s="12"/>
      <c r="T59" s="12"/>
      <c r="U59" s="10" t="str">
        <f>HYPERLINK("https://pbs.twimg.com/profile_images/1014973189749903361/Cc6nxQNT.jpg","View")</f>
        <v>View</v>
      </c>
    </row>
    <row r="60" spans="1:21" ht="91.8">
      <c r="A60" s="6">
        <v>43427.097951388889</v>
      </c>
      <c r="B60" s="7" t="str">
        <f>HYPERLINK("https://twitter.com/Jrmgonzalez","@Jrmgonzalez")</f>
        <v>@Jrmgonzalez</v>
      </c>
      <c r="C60" s="8" t="s">
        <v>308</v>
      </c>
      <c r="D60" s="9" t="s">
        <v>309</v>
      </c>
      <c r="E60" s="10" t="str">
        <f>HYPERLINK("https://twitter.com/Jrmgonzalez/status/1065777213096828928","1065777213096828928")</f>
        <v>1065777213096828928</v>
      </c>
      <c r="F60" s="11" t="s">
        <v>310</v>
      </c>
      <c r="G60" s="11" t="s">
        <v>311</v>
      </c>
      <c r="H60" s="12"/>
      <c r="I60" s="13">
        <v>1</v>
      </c>
      <c r="J60" s="13">
        <v>0</v>
      </c>
      <c r="K60" s="14" t="str">
        <f>HYPERLINK("http://twitter.com/download/iphone","Twitter for iPhone")</f>
        <v>Twitter for iPhone</v>
      </c>
      <c r="L60" s="13">
        <v>32</v>
      </c>
      <c r="M60" s="13">
        <v>265</v>
      </c>
      <c r="N60" s="13">
        <v>2</v>
      </c>
      <c r="O60" s="15"/>
      <c r="P60" s="6">
        <v>41696.563379629632</v>
      </c>
      <c r="Q60" s="16" t="s">
        <v>312</v>
      </c>
      <c r="R60" s="17" t="s">
        <v>313</v>
      </c>
      <c r="S60" s="12"/>
      <c r="T60" s="12"/>
      <c r="U60" s="10" t="str">
        <f>HYPERLINK("https://pbs.twimg.com/profile_images/951188977960222721/P3ZmIVlt.jpg","View")</f>
        <v>View</v>
      </c>
    </row>
    <row r="61" spans="1:21" ht="40.799999999999997">
      <c r="A61" s="6">
        <v>43427.058831018519</v>
      </c>
      <c r="B61" s="7" t="str">
        <f>HYPERLINK("https://twitter.com/llumiferrat","@llumiferrat")</f>
        <v>@llumiferrat</v>
      </c>
      <c r="C61" s="8" t="s">
        <v>314</v>
      </c>
      <c r="D61" s="9" t="s">
        <v>315</v>
      </c>
      <c r="E61" s="10" t="str">
        <f>HYPERLINK("https://twitter.com/llumiferrat/status/1065763036965859328","1065763036965859328")</f>
        <v>1065763036965859328</v>
      </c>
      <c r="F61" s="12"/>
      <c r="G61" s="11" t="s">
        <v>316</v>
      </c>
      <c r="H61" s="12"/>
      <c r="I61" s="13">
        <v>0</v>
      </c>
      <c r="J61" s="13">
        <v>2</v>
      </c>
      <c r="K61" s="14" t="str">
        <f>HYPERLINK("http://twitter.com/download/android","Twitter for Android")</f>
        <v>Twitter for Android</v>
      </c>
      <c r="L61" s="13">
        <v>51</v>
      </c>
      <c r="M61" s="13">
        <v>457</v>
      </c>
      <c r="N61" s="13">
        <v>0</v>
      </c>
      <c r="O61" s="15"/>
      <c r="P61" s="6">
        <v>42183.862662037034</v>
      </c>
      <c r="Q61" s="16" t="s">
        <v>317</v>
      </c>
      <c r="R61" s="21"/>
      <c r="S61" s="12"/>
      <c r="T61" s="12"/>
      <c r="U61" s="10" t="str">
        <f>HYPERLINK("https://pbs.twimg.com/profile_images/811529176696160256/XtccN8Kq.jpg","View")</f>
        <v>View</v>
      </c>
    </row>
    <row r="62" spans="1:21" ht="61.2">
      <c r="A62" s="6">
        <v>43427.041504629626</v>
      </c>
      <c r="B62" s="7" t="str">
        <f>HYPERLINK("https://twitter.com/Huelva_Vox","@Huelva_Vox")</f>
        <v>@Huelva_Vox</v>
      </c>
      <c r="C62" s="8" t="s">
        <v>318</v>
      </c>
      <c r="D62" s="9" t="s">
        <v>319</v>
      </c>
      <c r="E62" s="10" t="str">
        <f>HYPERLINK("https://twitter.com/Huelva_Vox/status/1065756756159139841","1065756756159139841")</f>
        <v>1065756756159139841</v>
      </c>
      <c r="F62" s="12"/>
      <c r="G62" s="11" t="s">
        <v>320</v>
      </c>
      <c r="H62" s="12"/>
      <c r="I62" s="13">
        <v>10</v>
      </c>
      <c r="J62" s="13">
        <v>15</v>
      </c>
      <c r="K62" s="14" t="str">
        <f>HYPERLINK("http://twitter.com","Twitter Web Client")</f>
        <v>Twitter Web Client</v>
      </c>
      <c r="L62" s="13">
        <v>1528</v>
      </c>
      <c r="M62" s="13">
        <v>1163</v>
      </c>
      <c r="N62" s="13">
        <v>13</v>
      </c>
      <c r="O62" s="15"/>
      <c r="P62" s="6">
        <v>42004.585358796292</v>
      </c>
      <c r="Q62" s="16" t="s">
        <v>321</v>
      </c>
      <c r="R62" s="17" t="s">
        <v>322</v>
      </c>
      <c r="S62" s="11" t="s">
        <v>323</v>
      </c>
      <c r="T62" s="12"/>
      <c r="U62" s="10" t="str">
        <f>HYPERLINK("https://pbs.twimg.com/profile_images/550280440079081473/xbtjUPQo.png","View")</f>
        <v>View</v>
      </c>
    </row>
    <row r="63" spans="1:21" ht="61.2">
      <c r="A63" s="6">
        <v>43427.027094907404</v>
      </c>
      <c r="B63" s="7" t="str">
        <f>HYPERLINK("https://twitter.com/LacuelL","@LacuelL")</f>
        <v>@LacuelL</v>
      </c>
      <c r="C63" s="8" t="s">
        <v>324</v>
      </c>
      <c r="D63" s="9" t="s">
        <v>325</v>
      </c>
      <c r="E63" s="10" t="str">
        <f>HYPERLINK("https://twitter.com/LacuelL/status/1065751536675012608","1065751536675012608")</f>
        <v>1065751536675012608</v>
      </c>
      <c r="F63" s="11" t="s">
        <v>326</v>
      </c>
      <c r="G63" s="12"/>
      <c r="H63" s="12"/>
      <c r="I63" s="13">
        <v>0</v>
      </c>
      <c r="J63" s="13">
        <v>0</v>
      </c>
      <c r="K63" s="14" t="str">
        <f>HYPERLINK("http://twitter.com/download/android","Twitter for Android")</f>
        <v>Twitter for Android</v>
      </c>
      <c r="L63" s="13">
        <v>1032</v>
      </c>
      <c r="M63" s="13">
        <v>944</v>
      </c>
      <c r="N63" s="13">
        <v>0</v>
      </c>
      <c r="O63" s="15"/>
      <c r="P63" s="6">
        <v>43132.057106481487</v>
      </c>
      <c r="Q63" s="16" t="s">
        <v>327</v>
      </c>
      <c r="R63" s="17" t="s">
        <v>328</v>
      </c>
      <c r="S63" s="11" t="s">
        <v>329</v>
      </c>
      <c r="T63" s="12"/>
      <c r="U63" s="10" t="str">
        <f>HYPERLINK("https://pbs.twimg.com/profile_images/1035820564877852672/yRmnXuwv.jpg","View")</f>
        <v>View</v>
      </c>
    </row>
    <row r="64" spans="1:21" ht="30.6">
      <c r="A64" s="6">
        <v>43427.013043981482</v>
      </c>
      <c r="B64" s="7" t="str">
        <f>HYPERLINK("https://twitter.com/perdizalba","@perdizalba")</f>
        <v>@perdizalba</v>
      </c>
      <c r="C64" s="8" t="s">
        <v>330</v>
      </c>
      <c r="D64" s="9" t="s">
        <v>331</v>
      </c>
      <c r="E64" s="10" t="str">
        <f>HYPERLINK("https://twitter.com/perdizalba/status/1065746442411757569","1065746442411757569")</f>
        <v>1065746442411757569</v>
      </c>
      <c r="F64" s="12"/>
      <c r="G64" s="12"/>
      <c r="H64" s="12"/>
      <c r="I64" s="13">
        <v>1</v>
      </c>
      <c r="J64" s="13">
        <v>0</v>
      </c>
      <c r="K64" s="14" t="str">
        <f>HYPERLINK("http://twitter.com/download/iphone","Twitter for iPhone")</f>
        <v>Twitter for iPhone</v>
      </c>
      <c r="L64" s="13">
        <v>253</v>
      </c>
      <c r="M64" s="13">
        <v>12</v>
      </c>
      <c r="N64" s="13">
        <v>10</v>
      </c>
      <c r="O64" s="15"/>
      <c r="P64" s="6">
        <v>41288.888912037037</v>
      </c>
      <c r="Q64" s="16" t="s">
        <v>332</v>
      </c>
      <c r="R64" s="17" t="s">
        <v>333</v>
      </c>
      <c r="S64" s="12"/>
      <c r="T64" s="12"/>
      <c r="U64" s="10" t="str">
        <f>HYPERLINK("https://pbs.twimg.com/profile_images/806754246095880197/HGNFb19s.jpg","View")</f>
        <v>View</v>
      </c>
    </row>
    <row r="65" spans="1:21" ht="51">
      <c r="A65" s="6">
        <v>43427.004687499997</v>
      </c>
      <c r="B65" s="7" t="str">
        <f>HYPERLINK("https://twitter.com/Jardiner_","@Jardiner_")</f>
        <v>@Jardiner_</v>
      </c>
      <c r="C65" s="8" t="s">
        <v>334</v>
      </c>
      <c r="D65" s="9" t="s">
        <v>335</v>
      </c>
      <c r="E65" s="10" t="str">
        <f>HYPERLINK("https://twitter.com/Jardiner_/status/1065743414937948166","1065743414937948166")</f>
        <v>1065743414937948166</v>
      </c>
      <c r="F65" s="11" t="s">
        <v>199</v>
      </c>
      <c r="G65" s="11" t="s">
        <v>200</v>
      </c>
      <c r="H65" s="12"/>
      <c r="I65" s="13">
        <v>2</v>
      </c>
      <c r="J65" s="13">
        <v>21</v>
      </c>
      <c r="K65" s="14" t="str">
        <f t="shared" ref="K65:K66" si="13">HYPERLINK("http://twitter.com/download/android","Twitter for Android")</f>
        <v>Twitter for Android</v>
      </c>
      <c r="L65" s="13">
        <v>9273</v>
      </c>
      <c r="M65" s="13">
        <v>406</v>
      </c>
      <c r="N65" s="13">
        <v>106</v>
      </c>
      <c r="O65" s="15"/>
      <c r="P65" s="6">
        <v>41676.696099537039</v>
      </c>
      <c r="Q65" s="16" t="s">
        <v>336</v>
      </c>
      <c r="R65" s="17" t="s">
        <v>337</v>
      </c>
      <c r="S65" s="12"/>
      <c r="T65" s="12"/>
      <c r="U65" s="10" t="str">
        <f>HYPERLINK("https://pbs.twimg.com/profile_images/1056488150925787136/N7j0Y8mC.jpg","View")</f>
        <v>View</v>
      </c>
    </row>
    <row r="66" spans="1:21" ht="40.799999999999997">
      <c r="A66" s="6">
        <v>43427.003229166672</v>
      </c>
      <c r="B66" s="7" t="str">
        <f>HYPERLINK("https://twitter.com/Santi_ABASCAL","@Santi_ABASCAL")</f>
        <v>@Santi_ABASCAL</v>
      </c>
      <c r="C66" s="8" t="s">
        <v>182</v>
      </c>
      <c r="D66" s="9" t="s">
        <v>339</v>
      </c>
      <c r="E66" s="10" t="str">
        <f>HYPERLINK("https://twitter.com/Santi_ABASCAL/status/1065742887315546118","1065742887315546118")</f>
        <v>1065742887315546118</v>
      </c>
      <c r="F66" s="12"/>
      <c r="G66" s="11" t="s">
        <v>200</v>
      </c>
      <c r="H66" s="12"/>
      <c r="I66" s="13">
        <v>457</v>
      </c>
      <c r="J66" s="13">
        <v>755</v>
      </c>
      <c r="K66" s="14" t="str">
        <f t="shared" si="13"/>
        <v>Twitter for Android</v>
      </c>
      <c r="L66" s="13">
        <v>117602</v>
      </c>
      <c r="M66" s="13">
        <v>3896</v>
      </c>
      <c r="N66" s="13">
        <v>915</v>
      </c>
      <c r="O66" s="23" t="s">
        <v>186</v>
      </c>
      <c r="P66" s="6">
        <v>40606.716446759259</v>
      </c>
      <c r="Q66" s="16" t="s">
        <v>188</v>
      </c>
      <c r="R66" s="17" t="s">
        <v>189</v>
      </c>
      <c r="S66" s="11" t="s">
        <v>190</v>
      </c>
      <c r="T66" s="12"/>
      <c r="U66" s="10" t="str">
        <f>HYPERLINK("https://pbs.twimg.com/profile_images/1010488787686879232/2CnqYKlD.jpg","View")</f>
        <v>View</v>
      </c>
    </row>
    <row r="67" spans="1:21" ht="102">
      <c r="A67" s="6">
        <v>43426.972094907411</v>
      </c>
      <c r="B67" s="7" t="str">
        <f>HYPERLINK("https://twitter.com/LaChancleteria","@LaChancleteria")</f>
        <v>@LaChancleteria</v>
      </c>
      <c r="C67" s="8" t="s">
        <v>343</v>
      </c>
      <c r="D67" s="9" t="s">
        <v>344</v>
      </c>
      <c r="E67" s="10" t="str">
        <f>HYPERLINK("https://twitter.com/LaChancleteria/status/1065731605476638721","1065731605476638721")</f>
        <v>1065731605476638721</v>
      </c>
      <c r="F67" s="11" t="s">
        <v>345</v>
      </c>
      <c r="G67" s="12"/>
      <c r="H67" s="12"/>
      <c r="I67" s="13">
        <v>0</v>
      </c>
      <c r="J67" s="13">
        <v>1</v>
      </c>
      <c r="K67" s="14" t="str">
        <f>HYPERLINK("http://twitter.com","Twitter Web Client")</f>
        <v>Twitter Web Client</v>
      </c>
      <c r="L67" s="13">
        <v>283</v>
      </c>
      <c r="M67" s="13">
        <v>433</v>
      </c>
      <c r="N67" s="13">
        <v>1</v>
      </c>
      <c r="O67" s="15"/>
      <c r="P67" s="6">
        <v>42816.063888888893</v>
      </c>
      <c r="Q67" s="16" t="s">
        <v>66</v>
      </c>
      <c r="R67" s="17" t="s">
        <v>346</v>
      </c>
      <c r="S67" s="12"/>
      <c r="T67" s="12"/>
      <c r="U67" s="10" t="str">
        <f>HYPERLINK("https://pbs.twimg.com/profile_images/1050103174722412544/739wyChJ.jpg","View")</f>
        <v>View</v>
      </c>
    </row>
    <row r="68" spans="1:21" ht="61.2">
      <c r="A68" s="6">
        <v>43426.964571759258</v>
      </c>
      <c r="B68" s="7" t="str">
        <f>HYPERLINK("https://twitter.com/Charlie_culeee","@Charlie_culeee")</f>
        <v>@Charlie_culeee</v>
      </c>
      <c r="C68" s="8" t="s">
        <v>347</v>
      </c>
      <c r="D68" s="9" t="s">
        <v>348</v>
      </c>
      <c r="E68" s="10" t="str">
        <f>HYPERLINK("https://twitter.com/Charlie_culeee/status/1065728878218539014","1065728878218539014")</f>
        <v>1065728878218539014</v>
      </c>
      <c r="F68" s="16" t="s">
        <v>349</v>
      </c>
      <c r="G68" s="11" t="s">
        <v>350</v>
      </c>
      <c r="H68" s="12"/>
      <c r="I68" s="13">
        <v>0</v>
      </c>
      <c r="J68" s="13">
        <v>0</v>
      </c>
      <c r="K68" s="14" t="str">
        <f>HYPERLINK("http://twitter.com/download/iphone","Twitter for iPhone")</f>
        <v>Twitter for iPhone</v>
      </c>
      <c r="L68" s="13">
        <v>498</v>
      </c>
      <c r="M68" s="13">
        <v>559</v>
      </c>
      <c r="N68" s="13">
        <v>18</v>
      </c>
      <c r="O68" s="15"/>
      <c r="P68" s="6">
        <v>40545.809502314813</v>
      </c>
      <c r="Q68" s="16" t="s">
        <v>351</v>
      </c>
      <c r="R68" s="21"/>
      <c r="S68" s="12"/>
      <c r="T68" s="12"/>
      <c r="U68" s="10" t="str">
        <f>HYPERLINK("https://pbs.twimg.com/profile_images/3711978684/2097976c6f4dc3d54dfb4d1fd1379c02.jpeg","View")</f>
        <v>View</v>
      </c>
    </row>
    <row r="69" spans="1:21" ht="51">
      <c r="A69" s="6">
        <v>43426.957511574074</v>
      </c>
      <c r="B69" s="7" t="str">
        <f>HYPERLINK("https://twitter.com/maximors45","@maximors45")</f>
        <v>@maximors45</v>
      </c>
      <c r="C69" s="8" t="s">
        <v>352</v>
      </c>
      <c r="D69" s="9" t="s">
        <v>353</v>
      </c>
      <c r="E69" s="10" t="str">
        <f>HYPERLINK("https://twitter.com/maximors45/status/1065726318711578629","1065726318711578629")</f>
        <v>1065726318711578629</v>
      </c>
      <c r="F69" s="11" t="s">
        <v>354</v>
      </c>
      <c r="G69" s="12"/>
      <c r="H69" s="12"/>
      <c r="I69" s="13">
        <v>0</v>
      </c>
      <c r="J69" s="13">
        <v>1</v>
      </c>
      <c r="K69" s="14" t="str">
        <f>HYPERLINK("http://twitter.com/download/android","Twitter for Android")</f>
        <v>Twitter for Android</v>
      </c>
      <c r="L69" s="13">
        <v>7321</v>
      </c>
      <c r="M69" s="13">
        <v>6287</v>
      </c>
      <c r="N69" s="13">
        <v>212</v>
      </c>
      <c r="O69" s="15"/>
      <c r="P69" s="6">
        <v>41713.777592592596</v>
      </c>
      <c r="Q69" s="16" t="s">
        <v>355</v>
      </c>
      <c r="R69" s="17" t="s">
        <v>356</v>
      </c>
      <c r="S69" s="12"/>
      <c r="T69" s="12"/>
      <c r="U69" s="10" t="str">
        <f>HYPERLINK("https://pbs.twimg.com/profile_images/1063386537101012998/36434Wof.jpg","View")</f>
        <v>View</v>
      </c>
    </row>
    <row r="70" spans="1:21" ht="40.799999999999997">
      <c r="A70" s="6">
        <v>43426.951655092591</v>
      </c>
      <c r="B70" s="7" t="str">
        <f>HYPERLINK("https://twitter.com/debernuyalcielo","@debernuyalcielo")</f>
        <v>@debernuyalcielo</v>
      </c>
      <c r="C70" s="8" t="s">
        <v>357</v>
      </c>
      <c r="D70" s="9" t="s">
        <v>358</v>
      </c>
      <c r="E70" s="10" t="str">
        <f>HYPERLINK("https://twitter.com/debernuyalcielo/status/1065724195248762880","1065724195248762880")</f>
        <v>1065724195248762880</v>
      </c>
      <c r="F70" s="12"/>
      <c r="G70" s="12"/>
      <c r="H70" s="12"/>
      <c r="I70" s="13">
        <v>0</v>
      </c>
      <c r="J70" s="13">
        <v>0</v>
      </c>
      <c r="K70" s="14" t="str">
        <f>HYPERLINK("http://twitter.com/download/iphone","Twitter for iPhone")</f>
        <v>Twitter for iPhone</v>
      </c>
      <c r="L70" s="13">
        <v>117</v>
      </c>
      <c r="M70" s="13">
        <v>1050</v>
      </c>
      <c r="N70" s="13">
        <v>1</v>
      </c>
      <c r="O70" s="15"/>
      <c r="P70" s="6">
        <v>43058.563981481479</v>
      </c>
      <c r="Q70" s="16" t="s">
        <v>359</v>
      </c>
      <c r="R70" s="17" t="s">
        <v>360</v>
      </c>
      <c r="S70" s="11" t="s">
        <v>361</v>
      </c>
      <c r="T70" s="12"/>
      <c r="U70" s="10" t="str">
        <f>HYPERLINK("https://pbs.twimg.com/profile_images/932235793640411136/13IOszc8.jpg","View")</f>
        <v>View</v>
      </c>
    </row>
    <row r="71" spans="1:21" ht="102">
      <c r="A71" s="6">
        <v>43426.95040509259</v>
      </c>
      <c r="B71" s="7" t="str">
        <f t="shared" ref="B71:B72" si="14">HYPERLINK("https://twitter.com/UlisesGamez10","@UlisesGamez10")</f>
        <v>@UlisesGamez10</v>
      </c>
      <c r="C71" s="8" t="s">
        <v>23</v>
      </c>
      <c r="D71" s="9" t="s">
        <v>363</v>
      </c>
      <c r="E71" s="10" t="str">
        <f>HYPERLINK("https://twitter.com/UlisesGamez10/status/1065723744625274880","1065723744625274880")</f>
        <v>1065723744625274880</v>
      </c>
      <c r="F71" s="11" t="s">
        <v>364</v>
      </c>
      <c r="G71" s="11" t="s">
        <v>365</v>
      </c>
      <c r="H71" s="12"/>
      <c r="I71" s="13">
        <v>0</v>
      </c>
      <c r="J71" s="13">
        <v>1</v>
      </c>
      <c r="K71" s="14" t="str">
        <f t="shared" ref="K71:K72" si="15">HYPERLINK("http://twitter.com/download/android","Twitter for Android")</f>
        <v>Twitter for Android</v>
      </c>
      <c r="L71" s="13">
        <v>1162</v>
      </c>
      <c r="M71" s="13">
        <v>5000</v>
      </c>
      <c r="N71" s="13">
        <v>0</v>
      </c>
      <c r="O71" s="15"/>
      <c r="P71" s="6">
        <v>43190.59783564815</v>
      </c>
      <c r="Q71" s="16" t="s">
        <v>25</v>
      </c>
      <c r="R71" s="17" t="s">
        <v>27</v>
      </c>
      <c r="S71" s="12"/>
      <c r="T71" s="12"/>
      <c r="U71" s="10" t="str">
        <f t="shared" ref="U71:U72" si="16">HYPERLINK("https://pbs.twimg.com/profile_images/1031158722586980352/ItGPtjBj.jpg","View")</f>
        <v>View</v>
      </c>
    </row>
    <row r="72" spans="1:21" ht="51">
      <c r="A72" s="6">
        <v>43426.934849537036</v>
      </c>
      <c r="B72" s="7" t="str">
        <f t="shared" si="14"/>
        <v>@UlisesGamez10</v>
      </c>
      <c r="C72" s="8" t="s">
        <v>23</v>
      </c>
      <c r="D72" s="9" t="s">
        <v>367</v>
      </c>
      <c r="E72" s="10" t="str">
        <f>HYPERLINK("https://twitter.com/UlisesGamez10/status/1065718108999114752","1065718108999114752")</f>
        <v>1065718108999114752</v>
      </c>
      <c r="F72" s="12"/>
      <c r="G72" s="12"/>
      <c r="H72" s="12"/>
      <c r="I72" s="13">
        <v>1</v>
      </c>
      <c r="J72" s="13">
        <v>1</v>
      </c>
      <c r="K72" s="14" t="str">
        <f t="shared" si="15"/>
        <v>Twitter for Android</v>
      </c>
      <c r="L72" s="13">
        <v>1162</v>
      </c>
      <c r="M72" s="13">
        <v>5000</v>
      </c>
      <c r="N72" s="13">
        <v>0</v>
      </c>
      <c r="O72" s="15"/>
      <c r="P72" s="6">
        <v>43190.59783564815</v>
      </c>
      <c r="Q72" s="16" t="s">
        <v>25</v>
      </c>
      <c r="R72" s="17" t="s">
        <v>27</v>
      </c>
      <c r="S72" s="12"/>
      <c r="T72" s="12"/>
      <c r="U72" s="10" t="str">
        <f t="shared" si="16"/>
        <v>View</v>
      </c>
    </row>
    <row r="73" spans="1:21" ht="51">
      <c r="A73" s="6">
        <v>43426.928715277776</v>
      </c>
      <c r="B73" s="7" t="str">
        <f t="shared" ref="B73:B74" si="17">HYPERLINK("https://twitter.com/bitMomentum","@bitMomentum")</f>
        <v>@bitMomentum</v>
      </c>
      <c r="C73" s="8" t="s">
        <v>368</v>
      </c>
      <c r="D73" s="9" t="s">
        <v>369</v>
      </c>
      <c r="E73" s="10" t="str">
        <f>HYPERLINK("https://twitter.com/bitMomentum/status/1065715883539144704","1065715883539144704")</f>
        <v>1065715883539144704</v>
      </c>
      <c r="F73" s="12"/>
      <c r="G73" s="11" t="s">
        <v>370</v>
      </c>
      <c r="H73" s="12"/>
      <c r="I73" s="13">
        <v>0</v>
      </c>
      <c r="J73" s="13">
        <v>0</v>
      </c>
      <c r="K73" s="14" t="str">
        <f t="shared" ref="K73:K74" si="18">HYPERLINK("http://www.bitmomentum.com","bitMomentum Bot")</f>
        <v>bitMomentum Bot</v>
      </c>
      <c r="L73" s="13">
        <v>10132</v>
      </c>
      <c r="M73" s="13">
        <v>1060</v>
      </c>
      <c r="N73" s="13">
        <v>267</v>
      </c>
      <c r="O73" s="15"/>
      <c r="P73" s="6">
        <v>41608.667511574073</v>
      </c>
      <c r="Q73" s="12"/>
      <c r="R73" s="17" t="s">
        <v>371</v>
      </c>
      <c r="S73" s="11" t="s">
        <v>372</v>
      </c>
      <c r="T73" s="12"/>
      <c r="U73" s="10" t="str">
        <f t="shared" ref="U73:U74" si="19">HYPERLINK("https://pbs.twimg.com/profile_images/378800000862185241/20ij2H3u.png","View")</f>
        <v>View</v>
      </c>
    </row>
    <row r="74" spans="1:21" ht="51">
      <c r="A74" s="6">
        <v>43426.928020833337</v>
      </c>
      <c r="B74" s="7" t="str">
        <f t="shared" si="17"/>
        <v>@bitMomentum</v>
      </c>
      <c r="C74" s="8" t="s">
        <v>368</v>
      </c>
      <c r="D74" s="9" t="s">
        <v>373</v>
      </c>
      <c r="E74" s="10" t="str">
        <f>HYPERLINK("https://twitter.com/bitMomentum/status/1065715631721496577","1065715631721496577")</f>
        <v>1065715631721496577</v>
      </c>
      <c r="F74" s="12"/>
      <c r="G74" s="11" t="s">
        <v>374</v>
      </c>
      <c r="H74" s="12"/>
      <c r="I74" s="13">
        <v>0</v>
      </c>
      <c r="J74" s="13">
        <v>0</v>
      </c>
      <c r="K74" s="14" t="str">
        <f t="shared" si="18"/>
        <v>bitMomentum Bot</v>
      </c>
      <c r="L74" s="13">
        <v>10132</v>
      </c>
      <c r="M74" s="13">
        <v>1060</v>
      </c>
      <c r="N74" s="13">
        <v>267</v>
      </c>
      <c r="O74" s="15"/>
      <c r="P74" s="6">
        <v>41608.667511574073</v>
      </c>
      <c r="Q74" s="12"/>
      <c r="R74" s="17" t="s">
        <v>371</v>
      </c>
      <c r="S74" s="11" t="s">
        <v>372</v>
      </c>
      <c r="T74" s="12"/>
      <c r="U74" s="10" t="str">
        <f t="shared" si="19"/>
        <v>View</v>
      </c>
    </row>
    <row r="75" spans="1:21" ht="51">
      <c r="A75" s="6">
        <v>43426.927418981482</v>
      </c>
      <c r="B75" s="7" t="str">
        <f t="shared" ref="B75:B77" si="20">HYPERLINK("https://twitter.com/UlisesGamez10","@UlisesGamez10")</f>
        <v>@UlisesGamez10</v>
      </c>
      <c r="C75" s="8" t="s">
        <v>23</v>
      </c>
      <c r="D75" s="9" t="s">
        <v>375</v>
      </c>
      <c r="E75" s="10" t="str">
        <f>HYPERLINK("https://twitter.com/UlisesGamez10/status/1065715414552973312","1065715414552973312")</f>
        <v>1065715414552973312</v>
      </c>
      <c r="F75" s="12"/>
      <c r="G75" s="12"/>
      <c r="H75" s="12"/>
      <c r="I75" s="13">
        <v>2</v>
      </c>
      <c r="J75" s="13">
        <v>5</v>
      </c>
      <c r="K75" s="14" t="str">
        <f t="shared" ref="K75:K78" si="21">HYPERLINK("http://twitter.com/download/android","Twitter for Android")</f>
        <v>Twitter for Android</v>
      </c>
      <c r="L75" s="13">
        <v>1162</v>
      </c>
      <c r="M75" s="13">
        <v>5000</v>
      </c>
      <c r="N75" s="13">
        <v>0</v>
      </c>
      <c r="O75" s="15"/>
      <c r="P75" s="6">
        <v>43190.59783564815</v>
      </c>
      <c r="Q75" s="16" t="s">
        <v>25</v>
      </c>
      <c r="R75" s="17" t="s">
        <v>27</v>
      </c>
      <c r="S75" s="12"/>
      <c r="T75" s="12"/>
      <c r="U75" s="10" t="str">
        <f t="shared" ref="U75:U77" si="22">HYPERLINK("https://pbs.twimg.com/profile_images/1031158722586980352/ItGPtjBj.jpg","View")</f>
        <v>View</v>
      </c>
    </row>
    <row r="76" spans="1:21" ht="61.2">
      <c r="A76" s="6">
        <v>43426.918206018519</v>
      </c>
      <c r="B76" s="7" t="str">
        <f t="shared" si="20"/>
        <v>@UlisesGamez10</v>
      </c>
      <c r="C76" s="8" t="s">
        <v>23</v>
      </c>
      <c r="D76" s="9" t="s">
        <v>377</v>
      </c>
      <c r="E76" s="10" t="str">
        <f>HYPERLINK("https://twitter.com/UlisesGamez10/status/1065712074175774720","1065712074175774720")</f>
        <v>1065712074175774720</v>
      </c>
      <c r="F76" s="12"/>
      <c r="G76" s="12"/>
      <c r="H76" s="12"/>
      <c r="I76" s="13">
        <v>0</v>
      </c>
      <c r="J76" s="13">
        <v>0</v>
      </c>
      <c r="K76" s="14" t="str">
        <f t="shared" si="21"/>
        <v>Twitter for Android</v>
      </c>
      <c r="L76" s="13">
        <v>1162</v>
      </c>
      <c r="M76" s="13">
        <v>5000</v>
      </c>
      <c r="N76" s="13">
        <v>0</v>
      </c>
      <c r="O76" s="15"/>
      <c r="P76" s="6">
        <v>43190.59783564815</v>
      </c>
      <c r="Q76" s="16" t="s">
        <v>25</v>
      </c>
      <c r="R76" s="17" t="s">
        <v>27</v>
      </c>
      <c r="S76" s="12"/>
      <c r="T76" s="12"/>
      <c r="U76" s="10" t="str">
        <f t="shared" si="22"/>
        <v>View</v>
      </c>
    </row>
    <row r="77" spans="1:21" ht="51">
      <c r="A77" s="6">
        <v>43426.90934027778</v>
      </c>
      <c r="B77" s="7" t="str">
        <f t="shared" si="20"/>
        <v>@UlisesGamez10</v>
      </c>
      <c r="C77" s="8" t="s">
        <v>23</v>
      </c>
      <c r="D77" s="9" t="s">
        <v>380</v>
      </c>
      <c r="E77" s="10" t="str">
        <f>HYPERLINK("https://twitter.com/UlisesGamez10/status/1065708864946036736","1065708864946036736")</f>
        <v>1065708864946036736</v>
      </c>
      <c r="F77" s="12"/>
      <c r="G77" s="12"/>
      <c r="H77" s="12"/>
      <c r="I77" s="13">
        <v>0</v>
      </c>
      <c r="J77" s="13">
        <v>0</v>
      </c>
      <c r="K77" s="14" t="str">
        <f t="shared" si="21"/>
        <v>Twitter for Android</v>
      </c>
      <c r="L77" s="13">
        <v>1162</v>
      </c>
      <c r="M77" s="13">
        <v>5000</v>
      </c>
      <c r="N77" s="13">
        <v>0</v>
      </c>
      <c r="O77" s="15"/>
      <c r="P77" s="6">
        <v>43190.59783564815</v>
      </c>
      <c r="Q77" s="16" t="s">
        <v>25</v>
      </c>
      <c r="R77" s="17" t="s">
        <v>27</v>
      </c>
      <c r="S77" s="12"/>
      <c r="T77" s="12"/>
      <c r="U77" s="10" t="str">
        <f t="shared" si="22"/>
        <v>View</v>
      </c>
    </row>
    <row r="78" spans="1:21" ht="30.6">
      <c r="A78" s="6">
        <v>43426.908680555556</v>
      </c>
      <c r="B78" s="7" t="str">
        <f>HYPERLINK("https://twitter.com/alex_aramberri","@alex_aramberri")</f>
        <v>@alex_aramberri</v>
      </c>
      <c r="C78" s="8" t="s">
        <v>381</v>
      </c>
      <c r="D78" s="9" t="s">
        <v>382</v>
      </c>
      <c r="E78" s="10" t="str">
        <f>HYPERLINK("https://twitter.com/alex_aramberri/status/1065708622783619074","1065708622783619074")</f>
        <v>1065708622783619074</v>
      </c>
      <c r="F78" s="12"/>
      <c r="G78" s="11" t="s">
        <v>383</v>
      </c>
      <c r="H78" s="12"/>
      <c r="I78" s="13">
        <v>0</v>
      </c>
      <c r="J78" s="13">
        <v>0</v>
      </c>
      <c r="K78" s="14" t="str">
        <f t="shared" si="21"/>
        <v>Twitter for Android</v>
      </c>
      <c r="L78" s="13">
        <v>51</v>
      </c>
      <c r="M78" s="13">
        <v>63</v>
      </c>
      <c r="N78" s="13">
        <v>0</v>
      </c>
      <c r="O78" s="15"/>
      <c r="P78" s="6">
        <v>42402.568090277782</v>
      </c>
      <c r="Q78" s="12"/>
      <c r="R78" s="21"/>
      <c r="S78" s="12"/>
      <c r="T78" s="12"/>
      <c r="U78" s="10" t="str">
        <f>HYPERLINK("https://pbs.twimg.com/profile_images/694520077551583233/y9kWAzt4.jpg","View")</f>
        <v>View</v>
      </c>
    </row>
    <row r="79" spans="1:21" ht="40.799999999999997">
      <c r="A79" s="6">
        <v>43426.904328703706</v>
      </c>
      <c r="B79" s="7" t="str">
        <f>HYPERLINK("https://twitter.com/BeatMiro","@BeatMiro")</f>
        <v>@BeatMiro</v>
      </c>
      <c r="C79" s="8" t="s">
        <v>384</v>
      </c>
      <c r="D79" s="9" t="s">
        <v>385</v>
      </c>
      <c r="E79" s="10" t="str">
        <f>HYPERLINK("https://twitter.com/BeatMiro/status/1065707048128663553","1065707048128663553")</f>
        <v>1065707048128663553</v>
      </c>
      <c r="F79" s="12"/>
      <c r="G79" s="11" t="s">
        <v>386</v>
      </c>
      <c r="H79" s="12"/>
      <c r="I79" s="13">
        <v>4</v>
      </c>
      <c r="J79" s="13">
        <v>2</v>
      </c>
      <c r="K79" s="14" t="str">
        <f>HYPERLINK("http://twitter.com/download/iphone","Twitter for iPhone")</f>
        <v>Twitter for iPhone</v>
      </c>
      <c r="L79" s="13">
        <v>2990</v>
      </c>
      <c r="M79" s="13">
        <v>2899</v>
      </c>
      <c r="N79" s="13">
        <v>18</v>
      </c>
      <c r="O79" s="15"/>
      <c r="P79" s="6">
        <v>41356.816400462965</v>
      </c>
      <c r="Q79" s="16" t="s">
        <v>387</v>
      </c>
      <c r="R79" s="17" t="s">
        <v>388</v>
      </c>
      <c r="S79" s="12"/>
      <c r="T79" s="12"/>
      <c r="U79" s="10" t="str">
        <f>HYPERLINK("https://pbs.twimg.com/profile_images/944911380146094080/-rIHGHi6.jpg","View")</f>
        <v>View</v>
      </c>
    </row>
    <row r="80" spans="1:21" ht="30.6">
      <c r="A80" s="6">
        <v>43426.883715277778</v>
      </c>
      <c r="B80" s="7" t="str">
        <f>HYPERLINK("https://twitter.com/_juancar7","@_juancar7")</f>
        <v>@_juancar7</v>
      </c>
      <c r="C80" s="8" t="s">
        <v>389</v>
      </c>
      <c r="D80" s="9" t="s">
        <v>390</v>
      </c>
      <c r="E80" s="10" t="str">
        <f>HYPERLINK("https://twitter.com/_juancar7/status/1065699578706624512","1065699578706624512")</f>
        <v>1065699578706624512</v>
      </c>
      <c r="F80" s="12"/>
      <c r="G80" s="11" t="s">
        <v>391</v>
      </c>
      <c r="H80" s="12"/>
      <c r="I80" s="13">
        <v>0</v>
      </c>
      <c r="J80" s="13">
        <v>1</v>
      </c>
      <c r="K80" s="14" t="str">
        <f t="shared" ref="K80:K81" si="23">HYPERLINK("http://twitter.com/download/android","Twitter for Android")</f>
        <v>Twitter for Android</v>
      </c>
      <c r="L80" s="13">
        <v>292</v>
      </c>
      <c r="M80" s="13">
        <v>464</v>
      </c>
      <c r="N80" s="13">
        <v>5</v>
      </c>
      <c r="O80" s="15"/>
      <c r="P80" s="6">
        <v>42228.482303240744</v>
      </c>
      <c r="Q80" s="16" t="s">
        <v>392</v>
      </c>
      <c r="R80" s="17" t="s">
        <v>393</v>
      </c>
      <c r="S80" s="11" t="s">
        <v>394</v>
      </c>
      <c r="T80" s="12"/>
      <c r="U80" s="10" t="str">
        <f>HYPERLINK("https://pbs.twimg.com/profile_images/1065025407110578177/aYrjSIxs.jpg","View")</f>
        <v>View</v>
      </c>
    </row>
    <row r="81" spans="1:21" ht="40.799999999999997">
      <c r="A81" s="6">
        <v>43426.87709490741</v>
      </c>
      <c r="B81" s="7" t="str">
        <f>HYPERLINK("https://twitter.com/juanarolas","@juanarolas")</f>
        <v>@juanarolas</v>
      </c>
      <c r="C81" s="8" t="s">
        <v>395</v>
      </c>
      <c r="D81" s="9" t="s">
        <v>396</v>
      </c>
      <c r="E81" s="10" t="str">
        <f>HYPERLINK("https://twitter.com/juanarolas/status/1065697179526938624","1065697179526938624")</f>
        <v>1065697179526938624</v>
      </c>
      <c r="F81" s="12"/>
      <c r="G81" s="11" t="s">
        <v>397</v>
      </c>
      <c r="H81" s="12"/>
      <c r="I81" s="13">
        <v>0</v>
      </c>
      <c r="J81" s="13">
        <v>0</v>
      </c>
      <c r="K81" s="14" t="str">
        <f t="shared" si="23"/>
        <v>Twitter for Android</v>
      </c>
      <c r="L81" s="13">
        <v>211</v>
      </c>
      <c r="M81" s="13">
        <v>224</v>
      </c>
      <c r="N81" s="13">
        <v>3</v>
      </c>
      <c r="O81" s="15"/>
      <c r="P81" s="6">
        <v>40925.37259259259</v>
      </c>
      <c r="Q81" s="12"/>
      <c r="R81" s="21"/>
      <c r="S81" s="12"/>
      <c r="T81" s="12"/>
      <c r="U81" s="10" t="str">
        <f>HYPERLINK("https://pbs.twimg.com/profile_images/1024688570718711808/lT4S31DW.jpg","View")</f>
        <v>View</v>
      </c>
    </row>
    <row r="82" spans="1:21" ht="51">
      <c r="A82" s="6">
        <v>43426.874456018515</v>
      </c>
      <c r="B82" s="7" t="str">
        <f>HYPERLINK("https://twitter.com/AndresSanto_","@AndresSanto_")</f>
        <v>@AndresSanto_</v>
      </c>
      <c r="C82" s="8" t="s">
        <v>398</v>
      </c>
      <c r="D82" s="9" t="s">
        <v>399</v>
      </c>
      <c r="E82" s="10" t="str">
        <f>HYPERLINK("https://twitter.com/AndresSanto_/status/1065696222567153671","1065696222567153671")</f>
        <v>1065696222567153671</v>
      </c>
      <c r="F82" s="12"/>
      <c r="G82" s="11" t="s">
        <v>400</v>
      </c>
      <c r="H82" s="12"/>
      <c r="I82" s="13">
        <v>1</v>
      </c>
      <c r="J82" s="13">
        <v>2</v>
      </c>
      <c r="K82" s="14" t="str">
        <f>HYPERLINK("http://twitter.com","Twitter Web Client")</f>
        <v>Twitter Web Client</v>
      </c>
      <c r="L82" s="13">
        <v>2303</v>
      </c>
      <c r="M82" s="13">
        <v>1820</v>
      </c>
      <c r="N82" s="13">
        <v>68</v>
      </c>
      <c r="O82" s="15"/>
      <c r="P82" s="6">
        <v>40773.75135416667</v>
      </c>
      <c r="Q82" s="16" t="s">
        <v>111</v>
      </c>
      <c r="R82" s="17" t="s">
        <v>401</v>
      </c>
      <c r="S82" s="12"/>
      <c r="T82" s="12"/>
      <c r="U82" s="10" t="str">
        <f>HYPERLINK("https://pbs.twimg.com/profile_images/1062028217861709824/wyaW6mQk.jpg","View")</f>
        <v>View</v>
      </c>
    </row>
    <row r="83" spans="1:21" ht="91.8">
      <c r="A83" s="6">
        <v>43426.873402777783</v>
      </c>
      <c r="B83" s="7" t="str">
        <f>HYPERLINK("https://twitter.com/naireh","@naireh")</f>
        <v>@naireh</v>
      </c>
      <c r="C83" s="8" t="s">
        <v>402</v>
      </c>
      <c r="D83" s="9" t="s">
        <v>403</v>
      </c>
      <c r="E83" s="10" t="str">
        <f>HYPERLINK("https://twitter.com/naireh/status/1065695840633675776","1065695840633675776")</f>
        <v>1065695840633675776</v>
      </c>
      <c r="F83" s="16" t="s">
        <v>197</v>
      </c>
      <c r="G83" s="12"/>
      <c r="H83" s="12"/>
      <c r="I83" s="13">
        <v>0</v>
      </c>
      <c r="J83" s="13">
        <v>0</v>
      </c>
      <c r="K83" s="14" t="str">
        <f>HYPERLINK("http://twitter.com/download/iphone","Twitter for iPhone")</f>
        <v>Twitter for iPhone</v>
      </c>
      <c r="L83" s="13">
        <v>1854</v>
      </c>
      <c r="M83" s="13">
        <v>1003</v>
      </c>
      <c r="N83" s="13">
        <v>119</v>
      </c>
      <c r="O83" s="15"/>
      <c r="P83" s="6">
        <v>39891.548449074078</v>
      </c>
      <c r="Q83" s="16" t="s">
        <v>44</v>
      </c>
      <c r="R83" s="17" t="s">
        <v>404</v>
      </c>
      <c r="S83" s="11" t="s">
        <v>405</v>
      </c>
      <c r="T83" s="12"/>
      <c r="U83" s="10" t="str">
        <f>HYPERLINK("https://pbs.twimg.com/profile_images/1026918728234160130/GTx30QjM.jpg","View")</f>
        <v>View</v>
      </c>
    </row>
    <row r="84" spans="1:21" ht="71.400000000000006">
      <c r="A84" s="6">
        <v>43426.868738425925</v>
      </c>
      <c r="B84" s="7" t="str">
        <f>HYPERLINK("https://twitter.com/jegomezal","@jegomezal")</f>
        <v>@jegomezal</v>
      </c>
      <c r="C84" s="8" t="s">
        <v>406</v>
      </c>
      <c r="D84" s="9" t="s">
        <v>407</v>
      </c>
      <c r="E84" s="10" t="str">
        <f>HYPERLINK("https://twitter.com/jegomezal/status/1065694149368782853","1065694149368782853")</f>
        <v>1065694149368782853</v>
      </c>
      <c r="F84" s="16" t="s">
        <v>408</v>
      </c>
      <c r="G84" s="12"/>
      <c r="H84" s="12"/>
      <c r="I84" s="13">
        <v>0</v>
      </c>
      <c r="J84" s="13">
        <v>0</v>
      </c>
      <c r="K84" s="14" t="str">
        <f t="shared" ref="K84:K92" si="24">HYPERLINK("http://twitter.com/download/android","Twitter for Android")</f>
        <v>Twitter for Android</v>
      </c>
      <c r="L84" s="13">
        <v>89</v>
      </c>
      <c r="M84" s="13">
        <v>243</v>
      </c>
      <c r="N84" s="13">
        <v>12</v>
      </c>
      <c r="O84" s="15"/>
      <c r="P84" s="6">
        <v>42435.571886574078</v>
      </c>
      <c r="Q84" s="12"/>
      <c r="R84" s="17" t="s">
        <v>410</v>
      </c>
      <c r="S84" s="12"/>
      <c r="T84" s="12"/>
      <c r="U84" s="10" t="str">
        <f>HYPERLINK("https://pbs.twimg.com/profile_images/1030125639599357952/knvgtK3n.jpg","View")</f>
        <v>View</v>
      </c>
    </row>
    <row r="85" spans="1:21" ht="20.399999999999999">
      <c r="A85" s="6">
        <v>43426.862662037034</v>
      </c>
      <c r="B85" s="7" t="str">
        <f>HYPERLINK("https://twitter.com/AMiras96","@AMiras96")</f>
        <v>@AMiras96</v>
      </c>
      <c r="C85" s="8" t="s">
        <v>412</v>
      </c>
      <c r="D85" s="9" t="s">
        <v>413</v>
      </c>
      <c r="E85" s="10" t="str">
        <f>HYPERLINK("https://twitter.com/AMiras96/status/1065691945828302848","1065691945828302848")</f>
        <v>1065691945828302848</v>
      </c>
      <c r="F85" s="12"/>
      <c r="G85" s="12"/>
      <c r="H85" s="12"/>
      <c r="I85" s="13">
        <v>0</v>
      </c>
      <c r="J85" s="13">
        <v>4</v>
      </c>
      <c r="K85" s="14" t="str">
        <f t="shared" si="24"/>
        <v>Twitter for Android</v>
      </c>
      <c r="L85" s="13">
        <v>346</v>
      </c>
      <c r="M85" s="13">
        <v>294</v>
      </c>
      <c r="N85" s="13">
        <v>3</v>
      </c>
      <c r="O85" s="15"/>
      <c r="P85" s="6">
        <v>40714.687106481484</v>
      </c>
      <c r="Q85" s="16" t="s">
        <v>414</v>
      </c>
      <c r="R85" s="17" t="s">
        <v>415</v>
      </c>
      <c r="S85" s="12"/>
      <c r="T85" s="12"/>
      <c r="U85" s="10" t="str">
        <f>HYPERLINK("https://pbs.twimg.com/profile_images/967086596330795008/HJNXBfyp.jpg","View")</f>
        <v>View</v>
      </c>
    </row>
    <row r="86" spans="1:21" ht="30.6">
      <c r="A86" s="6">
        <v>43426.844074074077</v>
      </c>
      <c r="B86" s="7" t="str">
        <f>HYPERLINK("https://twitter.com/JavierJ67840778","@JavierJ67840778")</f>
        <v>@JavierJ67840778</v>
      </c>
      <c r="C86" s="8" t="s">
        <v>416</v>
      </c>
      <c r="D86" s="9" t="s">
        <v>417</v>
      </c>
      <c r="E86" s="10" t="str">
        <f>HYPERLINK("https://twitter.com/JavierJ67840778/status/1065685209193095168","1065685209193095168")</f>
        <v>1065685209193095168</v>
      </c>
      <c r="F86" s="12"/>
      <c r="G86" s="11" t="s">
        <v>418</v>
      </c>
      <c r="H86" s="12"/>
      <c r="I86" s="13">
        <v>2</v>
      </c>
      <c r="J86" s="13">
        <v>6</v>
      </c>
      <c r="K86" s="14" t="str">
        <f t="shared" si="24"/>
        <v>Twitter for Android</v>
      </c>
      <c r="L86" s="13">
        <v>2251</v>
      </c>
      <c r="M86" s="13">
        <v>4154</v>
      </c>
      <c r="N86" s="13">
        <v>9</v>
      </c>
      <c r="O86" s="15"/>
      <c r="P86" s="6">
        <v>42205.888761574075</v>
      </c>
      <c r="Q86" s="12"/>
      <c r="R86" s="17" t="s">
        <v>419</v>
      </c>
      <c r="S86" s="12"/>
      <c r="T86" s="12"/>
      <c r="U86" s="10" t="str">
        <f>HYPERLINK("https://pbs.twimg.com/profile_images/1031281973258604544/1sqSdUNc.jpg","View")</f>
        <v>View</v>
      </c>
    </row>
    <row r="87" spans="1:21" ht="30.6">
      <c r="A87" s="6">
        <v>43426.840127314819</v>
      </c>
      <c r="B87" s="7" t="str">
        <f>HYPERLINK("https://twitter.com/AnaGarcia2Mayo","@AnaGarcia2Mayo")</f>
        <v>@AnaGarcia2Mayo</v>
      </c>
      <c r="C87" s="8" t="s">
        <v>420</v>
      </c>
      <c r="D87" s="9" t="s">
        <v>421</v>
      </c>
      <c r="E87" s="10" t="str">
        <f>HYPERLINK("https://twitter.com/AnaGarcia2Mayo/status/1065683780436992000","1065683780436992000")</f>
        <v>1065683780436992000</v>
      </c>
      <c r="F87" s="12"/>
      <c r="G87" s="11" t="s">
        <v>422</v>
      </c>
      <c r="H87" s="12"/>
      <c r="I87" s="13">
        <v>2</v>
      </c>
      <c r="J87" s="13">
        <v>6</v>
      </c>
      <c r="K87" s="14" t="str">
        <f t="shared" si="24"/>
        <v>Twitter for Android</v>
      </c>
      <c r="L87" s="13">
        <v>23</v>
      </c>
      <c r="M87" s="13">
        <v>19</v>
      </c>
      <c r="N87" s="13">
        <v>0</v>
      </c>
      <c r="O87" s="15"/>
      <c r="P87" s="6">
        <v>43409.777951388889</v>
      </c>
      <c r="Q87" s="16" t="s">
        <v>423</v>
      </c>
      <c r="R87" s="21"/>
      <c r="S87" s="12"/>
      <c r="T87" s="12"/>
      <c r="U87" s="10" t="str">
        <f>HYPERLINK("https://pbs.twimg.com/profile_images/1059501607229014016/9vJV2pGE.jpg","View")</f>
        <v>View</v>
      </c>
    </row>
    <row r="88" spans="1:21" ht="51">
      <c r="A88" s="6">
        <v>43426.83384259259</v>
      </c>
      <c r="B88" s="7" t="str">
        <f>HYPERLINK("https://twitter.com/manzanequep","@manzanequep")</f>
        <v>@manzanequep</v>
      </c>
      <c r="C88" s="8" t="s">
        <v>424</v>
      </c>
      <c r="D88" s="9" t="s">
        <v>425</v>
      </c>
      <c r="E88" s="10" t="str">
        <f>HYPERLINK("https://twitter.com/manzanequep/status/1065681502904700928","1065681502904700928")</f>
        <v>1065681502904700928</v>
      </c>
      <c r="F88" s="16" t="s">
        <v>426</v>
      </c>
      <c r="G88" s="11" t="s">
        <v>427</v>
      </c>
      <c r="H88" s="12"/>
      <c r="I88" s="13">
        <v>0</v>
      </c>
      <c r="J88" s="13">
        <v>0</v>
      </c>
      <c r="K88" s="14" t="str">
        <f t="shared" si="24"/>
        <v>Twitter for Android</v>
      </c>
      <c r="L88" s="13">
        <v>574</v>
      </c>
      <c r="M88" s="13">
        <v>1499</v>
      </c>
      <c r="N88" s="13">
        <v>0</v>
      </c>
      <c r="O88" s="15"/>
      <c r="P88" s="6">
        <v>42137.822638888887</v>
      </c>
      <c r="Q88" s="16" t="s">
        <v>428</v>
      </c>
      <c r="R88" s="17" t="s">
        <v>429</v>
      </c>
      <c r="S88" s="12"/>
      <c r="T88" s="12"/>
      <c r="U88" s="10" t="str">
        <f>HYPERLINK("https://pbs.twimg.com/profile_images/895612705851277312/qBB2GUfd.jpg","View")</f>
        <v>View</v>
      </c>
    </row>
    <row r="89" spans="1:21" ht="51">
      <c r="A89" s="6">
        <v>43426.82298611111</v>
      </c>
      <c r="B89" s="7" t="str">
        <f>HYPERLINK("https://twitter.com/meibarcelo","@meibarcelo")</f>
        <v>@meibarcelo</v>
      </c>
      <c r="C89" s="8" t="s">
        <v>430</v>
      </c>
      <c r="D89" s="9" t="s">
        <v>431</v>
      </c>
      <c r="E89" s="10" t="str">
        <f>HYPERLINK("https://twitter.com/meibarcelo/status/1065677570375671811","1065677570375671811")</f>
        <v>1065677570375671811</v>
      </c>
      <c r="F89" s="16" t="s">
        <v>432</v>
      </c>
      <c r="G89" s="12"/>
      <c r="H89" s="12"/>
      <c r="I89" s="13">
        <v>0</v>
      </c>
      <c r="J89" s="13">
        <v>0</v>
      </c>
      <c r="K89" s="14" t="str">
        <f t="shared" si="24"/>
        <v>Twitter for Android</v>
      </c>
      <c r="L89" s="13">
        <v>803</v>
      </c>
      <c r="M89" s="13">
        <v>1180</v>
      </c>
      <c r="N89" s="13">
        <v>0</v>
      </c>
      <c r="O89" s="15"/>
      <c r="P89" s="6">
        <v>43051.423020833332</v>
      </c>
      <c r="Q89" s="12"/>
      <c r="R89" s="17" t="s">
        <v>433</v>
      </c>
      <c r="S89" s="12"/>
      <c r="T89" s="12"/>
      <c r="U89" s="10" t="str">
        <f>HYPERLINK("https://pbs.twimg.com/profile_images/1033082776726261760/aEettxyu.jpg","View")</f>
        <v>View</v>
      </c>
    </row>
    <row r="90" spans="1:21" ht="102">
      <c r="A90" s="6">
        <v>43426.811435185184</v>
      </c>
      <c r="B90" s="7" t="str">
        <f>HYPERLINK("https://twitter.com/UlisesGamez10","@UlisesGamez10")</f>
        <v>@UlisesGamez10</v>
      </c>
      <c r="C90" s="8" t="s">
        <v>23</v>
      </c>
      <c r="D90" s="9" t="s">
        <v>434</v>
      </c>
      <c r="E90" s="10" t="str">
        <f>HYPERLINK("https://twitter.com/UlisesGamez10/status/1065673383717818368","1065673383717818368")</f>
        <v>1065673383717818368</v>
      </c>
      <c r="F90" s="11" t="s">
        <v>435</v>
      </c>
      <c r="G90" s="12"/>
      <c r="H90" s="12"/>
      <c r="I90" s="13">
        <v>0</v>
      </c>
      <c r="J90" s="13">
        <v>1</v>
      </c>
      <c r="K90" s="14" t="str">
        <f t="shared" si="24"/>
        <v>Twitter for Android</v>
      </c>
      <c r="L90" s="13">
        <v>1162</v>
      </c>
      <c r="M90" s="13">
        <v>5000</v>
      </c>
      <c r="N90" s="13">
        <v>0</v>
      </c>
      <c r="O90" s="15"/>
      <c r="P90" s="6">
        <v>43190.59783564815</v>
      </c>
      <c r="Q90" s="16" t="s">
        <v>25</v>
      </c>
      <c r="R90" s="17" t="s">
        <v>27</v>
      </c>
      <c r="S90" s="12"/>
      <c r="T90" s="12"/>
      <c r="U90" s="10" t="str">
        <f>HYPERLINK("https://pbs.twimg.com/profile_images/1031158722586980352/ItGPtjBj.jpg","View")</f>
        <v>View</v>
      </c>
    </row>
    <row r="91" spans="1:21" ht="40.799999999999997">
      <c r="A91" s="6">
        <v>43426.808310185181</v>
      </c>
      <c r="B91" s="7" t="str">
        <f>HYPERLINK("https://twitter.com/Davidmagra","@Davidmagra")</f>
        <v>@Davidmagra</v>
      </c>
      <c r="C91" s="8" t="s">
        <v>439</v>
      </c>
      <c r="D91" s="9" t="s">
        <v>440</v>
      </c>
      <c r="E91" s="10" t="str">
        <f>HYPERLINK("https://twitter.com/Davidmagra/status/1065672249351520258","1065672249351520258")</f>
        <v>1065672249351520258</v>
      </c>
      <c r="F91" s="16" t="s">
        <v>441</v>
      </c>
      <c r="G91" s="12"/>
      <c r="H91" s="12"/>
      <c r="I91" s="13">
        <v>0</v>
      </c>
      <c r="J91" s="13">
        <v>0</v>
      </c>
      <c r="K91" s="14" t="str">
        <f t="shared" si="24"/>
        <v>Twitter for Android</v>
      </c>
      <c r="L91" s="13">
        <v>616</v>
      </c>
      <c r="M91" s="13">
        <v>1704</v>
      </c>
      <c r="N91" s="13">
        <v>2</v>
      </c>
      <c r="O91" s="15"/>
      <c r="P91" s="6">
        <v>41132.525717592594</v>
      </c>
      <c r="Q91" s="16" t="s">
        <v>444</v>
      </c>
      <c r="R91" s="17" t="s">
        <v>445</v>
      </c>
      <c r="S91" s="12"/>
      <c r="T91" s="12"/>
      <c r="U91" s="10" t="str">
        <f>HYPERLINK("https://pbs.twimg.com/profile_images/916758260115542017/8seBu2Cf.jpg","View")</f>
        <v>View</v>
      </c>
    </row>
    <row r="92" spans="1:21" ht="40.799999999999997">
      <c r="A92" s="6">
        <v>43426.787893518514</v>
      </c>
      <c r="B92" s="7" t="str">
        <f>HYPERLINK("https://twitter.com/angelface999999","@angelface999999")</f>
        <v>@angelface999999</v>
      </c>
      <c r="C92" s="8" t="s">
        <v>447</v>
      </c>
      <c r="D92" s="9" t="s">
        <v>448</v>
      </c>
      <c r="E92" s="10" t="str">
        <f>HYPERLINK("https://twitter.com/angelface999999/status/1065664852121870336","1065664852121870336")</f>
        <v>1065664852121870336</v>
      </c>
      <c r="F92" s="11" t="s">
        <v>452</v>
      </c>
      <c r="G92" s="12"/>
      <c r="H92" s="12"/>
      <c r="I92" s="13">
        <v>2</v>
      </c>
      <c r="J92" s="13">
        <v>0</v>
      </c>
      <c r="K92" s="14" t="str">
        <f t="shared" si="24"/>
        <v>Twitter for Android</v>
      </c>
      <c r="L92" s="13">
        <v>1561</v>
      </c>
      <c r="M92" s="13">
        <v>1679</v>
      </c>
      <c r="N92" s="13">
        <v>35</v>
      </c>
      <c r="O92" s="15"/>
      <c r="P92" s="6">
        <v>42522.691851851851</v>
      </c>
      <c r="Q92" s="16" t="s">
        <v>453</v>
      </c>
      <c r="R92" s="17" t="s">
        <v>454</v>
      </c>
      <c r="S92" s="12"/>
      <c r="T92" s="12"/>
      <c r="U92" s="10" t="str">
        <f>HYPERLINK("https://pbs.twimg.com/profile_images/1013844424114212864/S7s-TEfW.jpg","View")</f>
        <v>View</v>
      </c>
    </row>
    <row r="93" spans="1:21" ht="40.799999999999997">
      <c r="A93" s="6">
        <v>43426.774502314816</v>
      </c>
      <c r="B93" s="7" t="str">
        <f>HYPERLINK("https://twitter.com/ForoNaranjaEs","@ForoNaranjaEs")</f>
        <v>@ForoNaranjaEs</v>
      </c>
      <c r="C93" s="25" t="s">
        <v>455</v>
      </c>
      <c r="D93" s="9" t="s">
        <v>456</v>
      </c>
      <c r="E93" s="10" t="str">
        <f>HYPERLINK("https://twitter.com/ForoNaranjaEs/status/1065659999089803264","1065659999089803264")</f>
        <v>1065659999089803264</v>
      </c>
      <c r="F93" s="12"/>
      <c r="G93" s="11" t="s">
        <v>457</v>
      </c>
      <c r="H93" s="12"/>
      <c r="I93" s="13">
        <v>0</v>
      </c>
      <c r="J93" s="13">
        <v>2</v>
      </c>
      <c r="K93" s="14" t="str">
        <f>HYPERLINK("http://twitter.com","Twitter Web Client")</f>
        <v>Twitter Web Client</v>
      </c>
      <c r="L93" s="13">
        <v>18913</v>
      </c>
      <c r="M93" s="13">
        <v>797</v>
      </c>
      <c r="N93" s="13">
        <v>66</v>
      </c>
      <c r="O93" s="15"/>
      <c r="P93" s="6">
        <v>41527.636979166666</v>
      </c>
      <c r="Q93" s="12"/>
      <c r="R93" s="17" t="s">
        <v>458</v>
      </c>
      <c r="S93" s="11" t="s">
        <v>459</v>
      </c>
      <c r="T93" s="12"/>
      <c r="U93" s="10" t="str">
        <f>HYPERLINK("https://pbs.twimg.com/profile_images/873261063424401410/LIhVw_el.jpg","View")</f>
        <v>View</v>
      </c>
    </row>
    <row r="94" spans="1:21" ht="71.400000000000006">
      <c r="A94" s="6">
        <v>43426.754652777774</v>
      </c>
      <c r="B94" s="7" t="str">
        <f>HYPERLINK("https://twitter.com/raimongp","@raimongp")</f>
        <v>@raimongp</v>
      </c>
      <c r="C94" s="8" t="s">
        <v>460</v>
      </c>
      <c r="D94" s="9" t="s">
        <v>461</v>
      </c>
      <c r="E94" s="10" t="str">
        <f>HYPERLINK("https://twitter.com/raimongp/status/1065652804314906624","1065652804314906624")</f>
        <v>1065652804314906624</v>
      </c>
      <c r="F94" s="16" t="s">
        <v>462</v>
      </c>
      <c r="G94" s="12"/>
      <c r="H94" s="12"/>
      <c r="I94" s="13">
        <v>0</v>
      </c>
      <c r="J94" s="13">
        <v>0</v>
      </c>
      <c r="K94" s="14" t="str">
        <f>HYPERLINK("http://twitter.com/download/android","Twitter for Android")</f>
        <v>Twitter for Android</v>
      </c>
      <c r="L94" s="13">
        <v>221</v>
      </c>
      <c r="M94" s="13">
        <v>905</v>
      </c>
      <c r="N94" s="13">
        <v>0</v>
      </c>
      <c r="O94" s="15"/>
      <c r="P94" s="6">
        <v>43039.34239583333</v>
      </c>
      <c r="Q94" s="16" t="s">
        <v>463</v>
      </c>
      <c r="R94" s="17" t="s">
        <v>464</v>
      </c>
      <c r="S94" s="12"/>
      <c r="T94" s="12"/>
      <c r="U94" s="10" t="str">
        <f>HYPERLINK("https://pbs.twimg.com/profile_images/1059235477398736897/nZtiwM5E.jpg","View")</f>
        <v>View</v>
      </c>
    </row>
    <row r="95" spans="1:21" ht="71.400000000000006">
      <c r="A95" s="6">
        <v>43426.745162037041</v>
      </c>
      <c r="B95" s="7" t="str">
        <f>HYPERLINK("https://twitter.com/EtxebeRS","@EtxebeRS")</f>
        <v>@EtxebeRS</v>
      </c>
      <c r="C95" s="8" t="s">
        <v>465</v>
      </c>
      <c r="D95" s="9" t="s">
        <v>466</v>
      </c>
      <c r="E95" s="10" t="str">
        <f>HYPERLINK("https://twitter.com/EtxebeRS/status/1065649367279902722","1065649367279902722")</f>
        <v>1065649367279902722</v>
      </c>
      <c r="F95" s="16" t="s">
        <v>467</v>
      </c>
      <c r="G95" s="11" t="s">
        <v>468</v>
      </c>
      <c r="H95" s="12"/>
      <c r="I95" s="13">
        <v>0</v>
      </c>
      <c r="J95" s="13">
        <v>2</v>
      </c>
      <c r="K95" s="14" t="str">
        <f>HYPERLINK("http://twitter.com","Twitter Web Client")</f>
        <v>Twitter Web Client</v>
      </c>
      <c r="L95" s="13">
        <v>4073</v>
      </c>
      <c r="M95" s="13">
        <v>2065</v>
      </c>
      <c r="N95" s="13">
        <v>87</v>
      </c>
      <c r="O95" s="15"/>
      <c r="P95" s="6">
        <v>40863.520960648151</v>
      </c>
      <c r="Q95" s="16" t="s">
        <v>469</v>
      </c>
      <c r="R95" s="17" t="s">
        <v>470</v>
      </c>
      <c r="S95" s="11" t="s">
        <v>471</v>
      </c>
      <c r="T95" s="12"/>
      <c r="U95" s="10" t="str">
        <f>HYPERLINK("https://pbs.twimg.com/profile_images/1059875775292289024/bFp2Tx_F.jpg","View")</f>
        <v>View</v>
      </c>
    </row>
    <row r="96" spans="1:21" ht="102">
      <c r="A96" s="6">
        <v>43426.736342592594</v>
      </c>
      <c r="B96" s="7" t="str">
        <f>HYPERLINK("https://twitter.com/UlisesGamez10","@UlisesGamez10")</f>
        <v>@UlisesGamez10</v>
      </c>
      <c r="C96" s="8" t="s">
        <v>23</v>
      </c>
      <c r="D96" s="9" t="s">
        <v>472</v>
      </c>
      <c r="E96" s="10" t="str">
        <f>HYPERLINK("https://twitter.com/UlisesGamez10/status/1065646171585171456","1065646171585171456")</f>
        <v>1065646171585171456</v>
      </c>
      <c r="F96" s="16" t="s">
        <v>473</v>
      </c>
      <c r="G96" s="12"/>
      <c r="H96" s="12"/>
      <c r="I96" s="13">
        <v>2</v>
      </c>
      <c r="J96" s="13">
        <v>1</v>
      </c>
      <c r="K96" s="14" t="str">
        <f t="shared" ref="K96:K98" si="25">HYPERLINK("http://twitter.com/download/android","Twitter for Android")</f>
        <v>Twitter for Android</v>
      </c>
      <c r="L96" s="13">
        <v>1162</v>
      </c>
      <c r="M96" s="13">
        <v>5000</v>
      </c>
      <c r="N96" s="13">
        <v>0</v>
      </c>
      <c r="O96" s="15"/>
      <c r="P96" s="6">
        <v>43190.59783564815</v>
      </c>
      <c r="Q96" s="16" t="s">
        <v>25</v>
      </c>
      <c r="R96" s="17" t="s">
        <v>27</v>
      </c>
      <c r="S96" s="12"/>
      <c r="T96" s="12"/>
      <c r="U96" s="10" t="str">
        <f>HYPERLINK("https://pbs.twimg.com/profile_images/1031158722586980352/ItGPtjBj.jpg","View")</f>
        <v>View</v>
      </c>
    </row>
    <row r="97" spans="1:21" ht="81.599999999999994">
      <c r="A97" s="6">
        <v>43426.730370370366</v>
      </c>
      <c r="B97" s="7" t="str">
        <f>HYPERLINK("https://twitter.com/JessCab76032932","@JessCab76032932")</f>
        <v>@JessCab76032932</v>
      </c>
      <c r="C97" s="8" t="s">
        <v>474</v>
      </c>
      <c r="D97" s="9" t="s">
        <v>475</v>
      </c>
      <c r="E97" s="10" t="str">
        <f>HYPERLINK("https://twitter.com/JessCab76032932/status/1065644005608890368","1065644005608890368")</f>
        <v>1065644005608890368</v>
      </c>
      <c r="F97" s="11" t="s">
        <v>476</v>
      </c>
      <c r="G97" s="12"/>
      <c r="H97" s="12"/>
      <c r="I97" s="13">
        <v>1</v>
      </c>
      <c r="J97" s="13">
        <v>0</v>
      </c>
      <c r="K97" s="14" t="str">
        <f t="shared" si="25"/>
        <v>Twitter for Android</v>
      </c>
      <c r="L97" s="13">
        <v>50</v>
      </c>
      <c r="M97" s="13">
        <v>131</v>
      </c>
      <c r="N97" s="13">
        <v>0</v>
      </c>
      <c r="O97" s="15"/>
      <c r="P97" s="6">
        <v>43300.895844907413</v>
      </c>
      <c r="Q97" s="16" t="s">
        <v>477</v>
      </c>
      <c r="R97" s="17" t="s">
        <v>478</v>
      </c>
      <c r="S97" s="12"/>
      <c r="T97" s="12"/>
      <c r="U97" s="10" t="str">
        <f>HYPERLINK("https://pbs.twimg.com/profile_images/1021517739788328961/oIsG42rg.jpg","View")</f>
        <v>View</v>
      </c>
    </row>
    <row r="98" spans="1:21" ht="51">
      <c r="A98" s="6">
        <v>43426.726516203707</v>
      </c>
      <c r="B98" s="7" t="str">
        <f>HYPERLINK("https://twitter.com/TostDe","@TostDe")</f>
        <v>@TostDe</v>
      </c>
      <c r="C98" s="8" t="s">
        <v>479</v>
      </c>
      <c r="D98" s="9" t="s">
        <v>480</v>
      </c>
      <c r="E98" s="10" t="str">
        <f>HYPERLINK("https://twitter.com/TostDe/status/1065642609387941891","1065642609387941891")</f>
        <v>1065642609387941891</v>
      </c>
      <c r="F98" s="11" t="s">
        <v>481</v>
      </c>
      <c r="G98" s="12"/>
      <c r="H98" s="12"/>
      <c r="I98" s="13">
        <v>0</v>
      </c>
      <c r="J98" s="13">
        <v>3</v>
      </c>
      <c r="K98" s="14" t="str">
        <f t="shared" si="25"/>
        <v>Twitter for Android</v>
      </c>
      <c r="L98" s="13">
        <v>7458</v>
      </c>
      <c r="M98" s="13">
        <v>4982</v>
      </c>
      <c r="N98" s="13">
        <v>0</v>
      </c>
      <c r="O98" s="15"/>
      <c r="P98" s="6">
        <v>41127.649537037039</v>
      </c>
      <c r="Q98" s="16" t="s">
        <v>482</v>
      </c>
      <c r="R98" s="17" t="s">
        <v>483</v>
      </c>
      <c r="S98" s="11" t="s">
        <v>484</v>
      </c>
      <c r="T98" s="12"/>
      <c r="U98" s="10" t="str">
        <f>HYPERLINK("https://pbs.twimg.com/profile_images/939251243972792323/46YrTP1m.jpg","View")</f>
        <v>View</v>
      </c>
    </row>
    <row r="99" spans="1:21" ht="51">
      <c r="A99" s="6">
        <v>43426.72493055556</v>
      </c>
      <c r="B99" s="7" t="str">
        <f>HYPERLINK("https://twitter.com/Lupe_","@Lupe_")</f>
        <v>@Lupe_</v>
      </c>
      <c r="C99" s="8" t="s">
        <v>485</v>
      </c>
      <c r="D99" s="9" t="s">
        <v>486</v>
      </c>
      <c r="E99" s="10" t="str">
        <f>HYPERLINK("https://twitter.com/Lupe_/status/1065642036005617664","1065642036005617664")</f>
        <v>1065642036005617664</v>
      </c>
      <c r="F99" s="16" t="s">
        <v>467</v>
      </c>
      <c r="G99" s="11" t="s">
        <v>468</v>
      </c>
      <c r="H99" s="12"/>
      <c r="I99" s="13">
        <v>4</v>
      </c>
      <c r="J99" s="13">
        <v>17</v>
      </c>
      <c r="K99" s="14" t="str">
        <f>HYPERLINK("http://twitter.com/download/iphone","Twitter for iPhone")</f>
        <v>Twitter for iPhone</v>
      </c>
      <c r="L99" s="13">
        <v>20108</v>
      </c>
      <c r="M99" s="13">
        <v>3549</v>
      </c>
      <c r="N99" s="13">
        <v>396</v>
      </c>
      <c r="O99" s="23" t="s">
        <v>186</v>
      </c>
      <c r="P99" s="6">
        <v>39811.656840277778</v>
      </c>
      <c r="Q99" s="16" t="s">
        <v>488</v>
      </c>
      <c r="R99" s="17" t="s">
        <v>489</v>
      </c>
      <c r="S99" s="11" t="s">
        <v>490</v>
      </c>
      <c r="T99" s="12"/>
      <c r="U99" s="10" t="str">
        <f>HYPERLINK("https://pbs.twimg.com/profile_images/1056094728196972544/jsJe8BHI.jpg","View")</f>
        <v>View</v>
      </c>
    </row>
    <row r="100" spans="1:21" ht="61.2">
      <c r="A100" s="6">
        <v>43426.724861111114</v>
      </c>
      <c r="B100" s="7" t="str">
        <f>HYPERLINK("https://twitter.com/UlisesGamez10","@UlisesGamez10")</f>
        <v>@UlisesGamez10</v>
      </c>
      <c r="C100" s="8" t="s">
        <v>23</v>
      </c>
      <c r="D100" s="9" t="s">
        <v>493</v>
      </c>
      <c r="E100" s="10" t="str">
        <f>HYPERLINK("https://twitter.com/UlisesGamez10/status/1065642010814676992","1065642010814676992")</f>
        <v>1065642010814676992</v>
      </c>
      <c r="F100" s="12"/>
      <c r="G100" s="12"/>
      <c r="H100" s="12"/>
      <c r="I100" s="13">
        <v>0</v>
      </c>
      <c r="J100" s="13">
        <v>0</v>
      </c>
      <c r="K100" s="14" t="str">
        <f t="shared" ref="K100:K105" si="26">HYPERLINK("http://twitter.com/download/android","Twitter for Android")</f>
        <v>Twitter for Android</v>
      </c>
      <c r="L100" s="13">
        <v>1162</v>
      </c>
      <c r="M100" s="13">
        <v>5000</v>
      </c>
      <c r="N100" s="13">
        <v>0</v>
      </c>
      <c r="O100" s="15"/>
      <c r="P100" s="6">
        <v>43190.59783564815</v>
      </c>
      <c r="Q100" s="16" t="s">
        <v>25</v>
      </c>
      <c r="R100" s="17" t="s">
        <v>27</v>
      </c>
      <c r="S100" s="12"/>
      <c r="T100" s="12"/>
      <c r="U100" s="10" t="str">
        <f>HYPERLINK("https://pbs.twimg.com/profile_images/1031158722586980352/ItGPtjBj.jpg","View")</f>
        <v>View</v>
      </c>
    </row>
    <row r="101" spans="1:21" ht="20.399999999999999">
      <c r="A101" s="6">
        <v>43426.724548611106</v>
      </c>
      <c r="B101" s="7" t="str">
        <f>HYPERLINK("https://twitter.com/TostDe","@TostDe")</f>
        <v>@TostDe</v>
      </c>
      <c r="C101" s="8" t="s">
        <v>479</v>
      </c>
      <c r="D101" s="9" t="s">
        <v>494</v>
      </c>
      <c r="E101" s="10" t="str">
        <f>HYPERLINK("https://twitter.com/TostDe/status/1065641895815188481","1065641895815188481")</f>
        <v>1065641895815188481</v>
      </c>
      <c r="F101" s="12"/>
      <c r="G101" s="11" t="s">
        <v>495</v>
      </c>
      <c r="H101" s="12"/>
      <c r="I101" s="13">
        <v>0</v>
      </c>
      <c r="J101" s="13">
        <v>3</v>
      </c>
      <c r="K101" s="14" t="str">
        <f t="shared" si="26"/>
        <v>Twitter for Android</v>
      </c>
      <c r="L101" s="13">
        <v>7458</v>
      </c>
      <c r="M101" s="13">
        <v>4982</v>
      </c>
      <c r="N101" s="13">
        <v>0</v>
      </c>
      <c r="O101" s="15"/>
      <c r="P101" s="6">
        <v>41127.649537037039</v>
      </c>
      <c r="Q101" s="16" t="s">
        <v>482</v>
      </c>
      <c r="R101" s="17" t="s">
        <v>483</v>
      </c>
      <c r="S101" s="11" t="s">
        <v>484</v>
      </c>
      <c r="T101" s="12"/>
      <c r="U101" s="10" t="str">
        <f>HYPERLINK("https://pbs.twimg.com/profile_images/939251243972792323/46YrTP1m.jpg","View")</f>
        <v>View</v>
      </c>
    </row>
    <row r="102" spans="1:21" ht="51">
      <c r="A102" s="6">
        <v>43426.724282407406</v>
      </c>
      <c r="B102" s="7" t="str">
        <f>HYPERLINK("https://twitter.com/Jolu1970Jose","@Jolu1970Jose")</f>
        <v>@Jolu1970Jose</v>
      </c>
      <c r="C102" s="8" t="s">
        <v>168</v>
      </c>
      <c r="D102" s="9" t="s">
        <v>496</v>
      </c>
      <c r="E102" s="10" t="str">
        <f>HYPERLINK("https://twitter.com/Jolu1970Jose/status/1065641800835235840","1065641800835235840")</f>
        <v>1065641800835235840</v>
      </c>
      <c r="F102" s="11" t="s">
        <v>497</v>
      </c>
      <c r="G102" s="12"/>
      <c r="H102" s="12"/>
      <c r="I102" s="13">
        <v>0</v>
      </c>
      <c r="J102" s="13">
        <v>1</v>
      </c>
      <c r="K102" s="14" t="str">
        <f t="shared" si="26"/>
        <v>Twitter for Android</v>
      </c>
      <c r="L102" s="13">
        <v>2345</v>
      </c>
      <c r="M102" s="13">
        <v>2493</v>
      </c>
      <c r="N102" s="13">
        <v>22</v>
      </c>
      <c r="O102" s="15"/>
      <c r="P102" s="6">
        <v>40681.964178240742</v>
      </c>
      <c r="Q102" s="12"/>
      <c r="R102" s="17" t="s">
        <v>171</v>
      </c>
      <c r="S102" s="12"/>
      <c r="T102" s="12"/>
      <c r="U102" s="10" t="str">
        <f>HYPERLINK("https://pbs.twimg.com/profile_images/997194518444175360/dnaJJ08L.jpg","View")</f>
        <v>View</v>
      </c>
    </row>
    <row r="103" spans="1:21" ht="20.399999999999999">
      <c r="A103" s="6">
        <v>43426.72383101852</v>
      </c>
      <c r="B103" s="7" t="str">
        <f>HYPERLINK("https://twitter.com/NihilistaI","@NihilistaI")</f>
        <v>@NihilistaI</v>
      </c>
      <c r="C103" s="8" t="s">
        <v>498</v>
      </c>
      <c r="D103" s="9" t="s">
        <v>499</v>
      </c>
      <c r="E103" s="10" t="str">
        <f>HYPERLINK("https://twitter.com/NihilistaI/status/1065641636317810688","1065641636317810688")</f>
        <v>1065641636317810688</v>
      </c>
      <c r="F103" s="12"/>
      <c r="G103" s="12"/>
      <c r="H103" s="12"/>
      <c r="I103" s="13">
        <v>0</v>
      </c>
      <c r="J103" s="13">
        <v>0</v>
      </c>
      <c r="K103" s="14" t="str">
        <f t="shared" si="26"/>
        <v>Twitter for Android</v>
      </c>
      <c r="L103" s="13">
        <v>14</v>
      </c>
      <c r="M103" s="13">
        <v>140</v>
      </c>
      <c r="N103" s="13">
        <v>0</v>
      </c>
      <c r="O103" s="15"/>
      <c r="P103" s="6">
        <v>43424.701608796298</v>
      </c>
      <c r="Q103" s="12"/>
      <c r="R103" s="17" t="s">
        <v>500</v>
      </c>
      <c r="S103" s="12"/>
      <c r="T103" s="12"/>
      <c r="U103" s="10" t="str">
        <f>HYPERLINK("https://pbs.twimg.com/profile_images/1064910833443057664/8d0XL3Ie.jpg","View")</f>
        <v>View</v>
      </c>
    </row>
    <row r="104" spans="1:21" ht="30.6">
      <c r="A104" s="6">
        <v>43426.718159722222</v>
      </c>
      <c r="B104" s="7" t="str">
        <f>HYPERLINK("https://twitter.com/PregonerSantEst","@PregonerSantEst")</f>
        <v>@PregonerSantEst</v>
      </c>
      <c r="C104" s="8" t="s">
        <v>501</v>
      </c>
      <c r="D104" s="9" t="s">
        <v>502</v>
      </c>
      <c r="E104" s="10" t="str">
        <f>HYPERLINK("https://twitter.com/PregonerSantEst/status/1065639579628244993","1065639579628244993")</f>
        <v>1065639579628244993</v>
      </c>
      <c r="F104" s="11" t="s">
        <v>503</v>
      </c>
      <c r="G104" s="12"/>
      <c r="H104" s="12"/>
      <c r="I104" s="13">
        <v>0</v>
      </c>
      <c r="J104" s="13">
        <v>0</v>
      </c>
      <c r="K104" s="14" t="str">
        <f t="shared" si="26"/>
        <v>Twitter for Android</v>
      </c>
      <c r="L104" s="13">
        <v>572</v>
      </c>
      <c r="M104" s="13">
        <v>1056</v>
      </c>
      <c r="N104" s="13">
        <v>3</v>
      </c>
      <c r="O104" s="15"/>
      <c r="P104" s="6">
        <v>43209.881030092598</v>
      </c>
      <c r="Q104" s="16" t="s">
        <v>504</v>
      </c>
      <c r="R104" s="17" t="s">
        <v>505</v>
      </c>
      <c r="S104" s="12"/>
      <c r="T104" s="12"/>
      <c r="U104" s="10" t="str">
        <f>HYPERLINK("https://pbs.twimg.com/profile_images/987056528443301888/-0HoROxk.jpg","View")</f>
        <v>View</v>
      </c>
    </row>
    <row r="105" spans="1:21" ht="51">
      <c r="A105" s="6">
        <v>43426.709826388891</v>
      </c>
      <c r="B105" s="7" t="str">
        <f>HYPERLINK("https://twitter.com/cserranomar","@cserranomar")</f>
        <v>@cserranomar</v>
      </c>
      <c r="C105" s="8" t="s">
        <v>506</v>
      </c>
      <c r="D105" s="9" t="s">
        <v>507</v>
      </c>
      <c r="E105" s="10" t="str">
        <f>HYPERLINK("https://twitter.com/cserranomar/status/1065636561432252418","1065636561432252418")</f>
        <v>1065636561432252418</v>
      </c>
      <c r="F105" s="16" t="s">
        <v>508</v>
      </c>
      <c r="G105" s="12"/>
      <c r="H105" s="12"/>
      <c r="I105" s="13">
        <v>0</v>
      </c>
      <c r="J105" s="13">
        <v>0</v>
      </c>
      <c r="K105" s="14" t="str">
        <f t="shared" si="26"/>
        <v>Twitter for Android</v>
      </c>
      <c r="L105" s="13">
        <v>409</v>
      </c>
      <c r="M105" s="13">
        <v>464</v>
      </c>
      <c r="N105" s="13">
        <v>18</v>
      </c>
      <c r="O105" s="15"/>
      <c r="P105" s="6">
        <v>40624.819467592592</v>
      </c>
      <c r="Q105" s="16" t="s">
        <v>509</v>
      </c>
      <c r="R105" s="17" t="s">
        <v>510</v>
      </c>
      <c r="S105" s="11" t="s">
        <v>511</v>
      </c>
      <c r="T105" s="12"/>
      <c r="U105" s="10" t="str">
        <f>HYPERLINK("https://pbs.twimg.com/profile_images/1061553909171453954/MmQg74L9.jpg","View")</f>
        <v>View</v>
      </c>
    </row>
    <row r="106" spans="1:21" ht="81.599999999999994">
      <c r="A106" s="6">
        <v>43426.699293981481</v>
      </c>
      <c r="B106" s="7" t="str">
        <f>HYPERLINK("https://twitter.com/Ateoconsecuente","@Ateoconsecuente")</f>
        <v>@Ateoconsecuente</v>
      </c>
      <c r="C106" s="8" t="s">
        <v>512</v>
      </c>
      <c r="D106" s="9" t="s">
        <v>513</v>
      </c>
      <c r="E106" s="10" t="str">
        <f>HYPERLINK("https://twitter.com/Ateoconsecuente/status/1065632746716966912","1065632746716966912")</f>
        <v>1065632746716966912</v>
      </c>
      <c r="F106" s="11" t="s">
        <v>68</v>
      </c>
      <c r="G106" s="11" t="s">
        <v>69</v>
      </c>
      <c r="H106" s="12"/>
      <c r="I106" s="13">
        <v>0</v>
      </c>
      <c r="J106" s="13">
        <v>0</v>
      </c>
      <c r="K106" s="14" t="str">
        <f>HYPERLINK("http://twitter.com","Twitter Web Client")</f>
        <v>Twitter Web Client</v>
      </c>
      <c r="L106" s="13">
        <v>2109</v>
      </c>
      <c r="M106" s="13">
        <v>768</v>
      </c>
      <c r="N106" s="13">
        <v>25</v>
      </c>
      <c r="O106" s="15"/>
      <c r="P106" s="6">
        <v>41213.75613425926</v>
      </c>
      <c r="Q106" s="12"/>
      <c r="R106" s="17" t="s">
        <v>515</v>
      </c>
      <c r="S106" s="12"/>
      <c r="T106" s="12"/>
      <c r="U106" s="10" t="str">
        <f>HYPERLINK("https://pbs.twimg.com/profile_images/900790516106747905/U_85MyU-.jpg","View")</f>
        <v>View</v>
      </c>
    </row>
    <row r="107" spans="1:21" ht="40.799999999999997">
      <c r="A107" s="6">
        <v>43426.692800925928</v>
      </c>
      <c r="B107" s="7" t="str">
        <f>HYPERLINK("https://twitter.com/VoxCordoba","@VoxCordoba")</f>
        <v>@VoxCordoba</v>
      </c>
      <c r="C107" s="8" t="s">
        <v>518</v>
      </c>
      <c r="D107" s="9" t="s">
        <v>519</v>
      </c>
      <c r="E107" s="10" t="str">
        <f>HYPERLINK("https://twitter.com/VoxCordoba/status/1065630392525496321","1065630392525496321")</f>
        <v>1065630392525496321</v>
      </c>
      <c r="F107" s="12"/>
      <c r="G107" s="11" t="s">
        <v>520</v>
      </c>
      <c r="H107" s="12"/>
      <c r="I107" s="13">
        <v>39</v>
      </c>
      <c r="J107" s="13">
        <v>77</v>
      </c>
      <c r="K107" s="14" t="str">
        <f>HYPERLINK("http://twitter.com/download/android","Twitter for Android")</f>
        <v>Twitter for Android</v>
      </c>
      <c r="L107" s="13">
        <v>3490</v>
      </c>
      <c r="M107" s="13">
        <v>419</v>
      </c>
      <c r="N107" s="13">
        <v>20</v>
      </c>
      <c r="O107" s="15"/>
      <c r="P107" s="6">
        <v>41702.963472222225</v>
      </c>
      <c r="Q107" s="16" t="s">
        <v>521</v>
      </c>
      <c r="R107" s="17" t="s">
        <v>522</v>
      </c>
      <c r="S107" s="11" t="s">
        <v>523</v>
      </c>
      <c r="T107" s="12"/>
      <c r="U107" s="10" t="str">
        <f>HYPERLINK("https://pbs.twimg.com/profile_images/689560110104993793/LDhy_1s_.jpg","View")</f>
        <v>View</v>
      </c>
    </row>
    <row r="108" spans="1:21" ht="20.399999999999999">
      <c r="A108" s="6">
        <v>43426.690034722225</v>
      </c>
      <c r="B108" s="7" t="str">
        <f>HYPERLINK("https://twitter.com/MaVillarealm","@MaVillarealm")</f>
        <v>@MaVillarealm</v>
      </c>
      <c r="C108" s="8" t="s">
        <v>524</v>
      </c>
      <c r="D108" s="9" t="s">
        <v>525</v>
      </c>
      <c r="E108" s="10" t="str">
        <f>HYPERLINK("https://twitter.com/MaVillarealm/status/1065629389440856065","1065629389440856065")</f>
        <v>1065629389440856065</v>
      </c>
      <c r="F108" s="11" t="s">
        <v>526</v>
      </c>
      <c r="G108" s="12"/>
      <c r="H108" s="12"/>
      <c r="I108" s="13">
        <v>0</v>
      </c>
      <c r="J108" s="13">
        <v>0</v>
      </c>
      <c r="K108" s="14" t="str">
        <f>HYPERLINK("https://www.google.com/","Google")</f>
        <v>Google</v>
      </c>
      <c r="L108" s="13">
        <v>809</v>
      </c>
      <c r="M108" s="13">
        <v>3171</v>
      </c>
      <c r="N108" s="13">
        <v>10</v>
      </c>
      <c r="O108" s="15"/>
      <c r="P108" s="6">
        <v>41239.008333333331</v>
      </c>
      <c r="Q108" s="16" t="s">
        <v>528</v>
      </c>
      <c r="R108" s="21"/>
      <c r="S108" s="11" t="s">
        <v>529</v>
      </c>
      <c r="T108" s="12"/>
      <c r="U108" s="10" t="str">
        <f>HYPERLINK("https://pbs.twimg.com/profile_images/780515052675862528/NvirBFyz.jpg","View")</f>
        <v>View</v>
      </c>
    </row>
    <row r="109" spans="1:21" ht="61.2">
      <c r="A109" s="6">
        <v>43426.690011574072</v>
      </c>
      <c r="B109" s="7" t="str">
        <f>HYPERLINK("https://twitter.com/SL_Brandoni","@SL_Brandoni")</f>
        <v>@SL_Brandoni</v>
      </c>
      <c r="C109" s="8" t="s">
        <v>531</v>
      </c>
      <c r="D109" s="9" t="s">
        <v>532</v>
      </c>
      <c r="E109" s="10" t="str">
        <f>HYPERLINK("https://twitter.com/SL_Brandoni/status/1065629380456710144","1065629380456710144")</f>
        <v>1065629380456710144</v>
      </c>
      <c r="F109" s="16" t="s">
        <v>134</v>
      </c>
      <c r="G109" s="12"/>
      <c r="H109" s="12"/>
      <c r="I109" s="13">
        <v>0</v>
      </c>
      <c r="J109" s="13">
        <v>0</v>
      </c>
      <c r="K109" s="14" t="str">
        <f>HYPERLINK("https://mobile.twitter.com","Twitter Lite")</f>
        <v>Twitter Lite</v>
      </c>
      <c r="L109" s="13">
        <v>108</v>
      </c>
      <c r="M109" s="13">
        <v>108</v>
      </c>
      <c r="N109" s="13">
        <v>1</v>
      </c>
      <c r="O109" s="15"/>
      <c r="P109" s="6">
        <v>42988.398043981477</v>
      </c>
      <c r="Q109" s="16" t="s">
        <v>536</v>
      </c>
      <c r="R109" s="17" t="s">
        <v>537</v>
      </c>
      <c r="S109" s="11" t="s">
        <v>538</v>
      </c>
      <c r="T109" s="12"/>
      <c r="U109" s="10" t="str">
        <f>HYPERLINK("https://pbs.twimg.com/profile_images/946756164171247616/DPQzga7u.jpg","View")</f>
        <v>View</v>
      </c>
    </row>
    <row r="110" spans="1:21" ht="51">
      <c r="A110" s="6">
        <v>43426.679363425923</v>
      </c>
      <c r="B110" s="7" t="str">
        <f>HYPERLINK("https://twitter.com/Jolu1970Jose","@Jolu1970Jose")</f>
        <v>@Jolu1970Jose</v>
      </c>
      <c r="C110" s="8" t="s">
        <v>168</v>
      </c>
      <c r="D110" s="9" t="s">
        <v>539</v>
      </c>
      <c r="E110" s="10" t="str">
        <f>HYPERLINK("https://twitter.com/Jolu1970Jose/status/1065625523001442304","1065625523001442304")</f>
        <v>1065625523001442304</v>
      </c>
      <c r="F110" s="11" t="s">
        <v>541</v>
      </c>
      <c r="G110" s="12"/>
      <c r="H110" s="12"/>
      <c r="I110" s="13">
        <v>1</v>
      </c>
      <c r="J110" s="13">
        <v>2</v>
      </c>
      <c r="K110" s="14" t="str">
        <f t="shared" ref="K110:K111" si="27">HYPERLINK("http://twitter.com/download/android","Twitter for Android")</f>
        <v>Twitter for Android</v>
      </c>
      <c r="L110" s="13">
        <v>2345</v>
      </c>
      <c r="M110" s="13">
        <v>2493</v>
      </c>
      <c r="N110" s="13">
        <v>22</v>
      </c>
      <c r="O110" s="15"/>
      <c r="P110" s="6">
        <v>40681.964178240742</v>
      </c>
      <c r="Q110" s="12"/>
      <c r="R110" s="17" t="s">
        <v>171</v>
      </c>
      <c r="S110" s="12"/>
      <c r="T110" s="12"/>
      <c r="U110" s="10" t="str">
        <f>HYPERLINK("https://pbs.twimg.com/profile_images/997194518444175360/dnaJJ08L.jpg","View")</f>
        <v>View</v>
      </c>
    </row>
    <row r="111" spans="1:21" ht="40.799999999999997">
      <c r="A111" s="6">
        <v>43426.672581018516</v>
      </c>
      <c r="B111" s="7" t="str">
        <f>HYPERLINK("https://twitter.com/Juanerpf","@Juanerpf")</f>
        <v>@Juanerpf</v>
      </c>
      <c r="C111" s="8" t="s">
        <v>544</v>
      </c>
      <c r="D111" s="9" t="s">
        <v>545</v>
      </c>
      <c r="E111" s="10" t="str">
        <f>HYPERLINK("https://twitter.com/Juanerpf/status/1065623066250756097","1065623066250756097")</f>
        <v>1065623066250756097</v>
      </c>
      <c r="F111" s="12"/>
      <c r="G111" s="11" t="s">
        <v>546</v>
      </c>
      <c r="H111" s="12"/>
      <c r="I111" s="13">
        <v>48</v>
      </c>
      <c r="J111" s="13">
        <v>76</v>
      </c>
      <c r="K111" s="14" t="str">
        <f t="shared" si="27"/>
        <v>Twitter for Android</v>
      </c>
      <c r="L111" s="13">
        <v>6690</v>
      </c>
      <c r="M111" s="13">
        <v>873</v>
      </c>
      <c r="N111" s="13">
        <v>308</v>
      </c>
      <c r="O111" s="15"/>
      <c r="P111" s="6">
        <v>40980.873715277776</v>
      </c>
      <c r="Q111" s="16" t="s">
        <v>547</v>
      </c>
      <c r="R111" s="17" t="s">
        <v>548</v>
      </c>
      <c r="S111" s="11" t="s">
        <v>549</v>
      </c>
      <c r="T111" s="12"/>
      <c r="U111" s="10" t="str">
        <f>HYPERLINK("https://pbs.twimg.com/profile_images/537274998272954368/lLSuaKwi.jpeg","View")</f>
        <v>View</v>
      </c>
    </row>
    <row r="112" spans="1:21" ht="51">
      <c r="A112" s="6">
        <v>43426.667361111111</v>
      </c>
      <c r="B112" s="7" t="str">
        <f>HYPERLINK("https://twitter.com/bitMomentum","@bitMomentum")</f>
        <v>@bitMomentum</v>
      </c>
      <c r="C112" s="8" t="s">
        <v>368</v>
      </c>
      <c r="D112" s="9" t="s">
        <v>551</v>
      </c>
      <c r="E112" s="10" t="str">
        <f>HYPERLINK("https://twitter.com/bitMomentum/status/1065621171268435968","1065621171268435968")</f>
        <v>1065621171268435968</v>
      </c>
      <c r="F112" s="12"/>
      <c r="G112" s="12"/>
      <c r="H112" s="12"/>
      <c r="I112" s="13">
        <v>0</v>
      </c>
      <c r="J112" s="13">
        <v>0</v>
      </c>
      <c r="K112" s="14" t="str">
        <f>HYPERLINK("http://www.bitmomentum.com","bitMomentum Bot")</f>
        <v>bitMomentum Bot</v>
      </c>
      <c r="L112" s="13">
        <v>10132</v>
      </c>
      <c r="M112" s="13">
        <v>1060</v>
      </c>
      <c r="N112" s="13">
        <v>267</v>
      </c>
      <c r="O112" s="15"/>
      <c r="P112" s="6">
        <v>41608.667511574073</v>
      </c>
      <c r="Q112" s="12"/>
      <c r="R112" s="17" t="s">
        <v>371</v>
      </c>
      <c r="S112" s="11" t="s">
        <v>372</v>
      </c>
      <c r="T112" s="12"/>
      <c r="U112" s="10" t="str">
        <f>HYPERLINK("https://pbs.twimg.com/profile_images/378800000862185241/20ij2H3u.png","View")</f>
        <v>View</v>
      </c>
    </row>
    <row r="113" spans="1:21" ht="30.6">
      <c r="A113" s="6">
        <v>43426.660405092596</v>
      </c>
      <c r="B113" s="7" t="str">
        <f>HYPERLINK("https://twitter.com/felipeollero","@felipeollero")</f>
        <v>@felipeollero</v>
      </c>
      <c r="C113" s="8" t="s">
        <v>552</v>
      </c>
      <c r="D113" s="9" t="s">
        <v>553</v>
      </c>
      <c r="E113" s="10" t="str">
        <f>HYPERLINK("https://twitter.com/felipeollero/status/1065618652303630337","1065618652303630337")</f>
        <v>1065618652303630337</v>
      </c>
      <c r="F113" s="12"/>
      <c r="G113" s="12"/>
      <c r="H113" s="12"/>
      <c r="I113" s="13">
        <v>0</v>
      </c>
      <c r="J113" s="13">
        <v>0</v>
      </c>
      <c r="K113" s="14" t="str">
        <f>HYPERLINK("http://twitter.com/download/iphone","Twitter for iPhone")</f>
        <v>Twitter for iPhone</v>
      </c>
      <c r="L113" s="13">
        <v>310</v>
      </c>
      <c r="M113" s="13">
        <v>215</v>
      </c>
      <c r="N113" s="13">
        <v>2</v>
      </c>
      <c r="O113" s="15"/>
      <c r="P113" s="6">
        <v>40970.967083333337</v>
      </c>
      <c r="Q113" s="16" t="s">
        <v>554</v>
      </c>
      <c r="R113" s="17" t="s">
        <v>555</v>
      </c>
      <c r="S113" s="12"/>
      <c r="T113" s="12"/>
      <c r="U113" s="10" t="str">
        <f>HYPERLINK("https://pbs.twimg.com/profile_images/980421587211116544/2KPsneHL.jpg","View")</f>
        <v>View</v>
      </c>
    </row>
    <row r="114" spans="1:21" ht="61.2">
      <c r="A114" s="6">
        <v>43426.65834490741</v>
      </c>
      <c r="B114" s="7" t="str">
        <f>HYPERLINK("https://twitter.com/Pozo_1969","@Pozo_1969")</f>
        <v>@Pozo_1969</v>
      </c>
      <c r="C114" s="8" t="s">
        <v>556</v>
      </c>
      <c r="D114" s="9" t="s">
        <v>557</v>
      </c>
      <c r="E114" s="10" t="str">
        <f>HYPERLINK("https://twitter.com/Pozo_1969/status/1065617904937435137","1065617904937435137")</f>
        <v>1065617904937435137</v>
      </c>
      <c r="F114" s="12"/>
      <c r="G114" s="12"/>
      <c r="H114" s="12"/>
      <c r="I114" s="13">
        <v>4</v>
      </c>
      <c r="J114" s="13">
        <v>2</v>
      </c>
      <c r="K114" s="14" t="str">
        <f>HYPERLINK("http://twitter.com/download/android","Twitter for Android")</f>
        <v>Twitter for Android</v>
      </c>
      <c r="L114" s="13">
        <v>2102</v>
      </c>
      <c r="M114" s="13">
        <v>2137</v>
      </c>
      <c r="N114" s="13">
        <v>40</v>
      </c>
      <c r="O114" s="15"/>
      <c r="P114" s="6">
        <v>40815.401643518519</v>
      </c>
      <c r="Q114" s="12"/>
      <c r="R114" s="17" t="s">
        <v>558</v>
      </c>
      <c r="S114" s="12"/>
      <c r="T114" s="12"/>
      <c r="U114" s="10" t="str">
        <f>HYPERLINK("https://pbs.twimg.com/profile_images/844561592603824128/WgXnX2H3.jpg","View")</f>
        <v>View</v>
      </c>
    </row>
    <row r="115" spans="1:21" ht="20.399999999999999">
      <c r="A115" s="6">
        <v>43426.650983796295</v>
      </c>
      <c r="B115" s="7" t="str">
        <f>HYPERLINK("https://twitter.com/negativo_stats","@negativo_stats")</f>
        <v>@negativo_stats</v>
      </c>
      <c r="C115" s="8" t="s">
        <v>41</v>
      </c>
      <c r="D115" s="9" t="s">
        <v>42</v>
      </c>
      <c r="E115" s="10" t="str">
        <f>HYPERLINK("https://twitter.com/negativo_stats/status/1065615237334876165","1065615237334876165")</f>
        <v>1065615237334876165</v>
      </c>
      <c r="F115" s="12"/>
      <c r="G115" s="11" t="s">
        <v>559</v>
      </c>
      <c r="H115" s="12"/>
      <c r="I115" s="13">
        <v>0</v>
      </c>
      <c r="J115" s="13">
        <v>0</v>
      </c>
      <c r="K115" s="14" t="str">
        <f>HYPERLINK("http://kosmonautica.es","Política Negativa")</f>
        <v>Política Negativa</v>
      </c>
      <c r="L115" s="13">
        <v>256</v>
      </c>
      <c r="M115" s="13">
        <v>694</v>
      </c>
      <c r="N115" s="13">
        <v>2</v>
      </c>
      <c r="O115" s="15"/>
      <c r="P115" s="6">
        <v>42171.770601851851</v>
      </c>
      <c r="Q115" s="16" t="s">
        <v>44</v>
      </c>
      <c r="R115" s="17" t="s">
        <v>45</v>
      </c>
      <c r="S115" s="12"/>
      <c r="T115" s="12"/>
      <c r="U115" s="10" t="str">
        <f>HYPERLINK("https://pbs.twimg.com/profile_images/628553625984438272/e-VHyhP1.png","View")</f>
        <v>View</v>
      </c>
    </row>
    <row r="116" spans="1:21" ht="112.2">
      <c r="A116" s="6">
        <v>43426.649837962963</v>
      </c>
      <c r="B116" s="7" t="str">
        <f>HYPERLINK("https://twitter.com/Jrmgonzalez","@Jrmgonzalez")</f>
        <v>@Jrmgonzalez</v>
      </c>
      <c r="C116" s="8" t="s">
        <v>308</v>
      </c>
      <c r="D116" s="9" t="s">
        <v>560</v>
      </c>
      <c r="E116" s="10" t="str">
        <f>HYPERLINK("https://twitter.com/Jrmgonzalez/status/1065614820844687360","1065614820844687360")</f>
        <v>1065614820844687360</v>
      </c>
      <c r="F116" s="16" t="s">
        <v>90</v>
      </c>
      <c r="G116" s="12"/>
      <c r="H116" s="12"/>
      <c r="I116" s="13">
        <v>1</v>
      </c>
      <c r="J116" s="13">
        <v>3</v>
      </c>
      <c r="K116" s="14" t="str">
        <f>HYPERLINK("http://twitter.com/download/iphone","Twitter for iPhone")</f>
        <v>Twitter for iPhone</v>
      </c>
      <c r="L116" s="13">
        <v>32</v>
      </c>
      <c r="M116" s="13">
        <v>265</v>
      </c>
      <c r="N116" s="13">
        <v>2</v>
      </c>
      <c r="O116" s="15"/>
      <c r="P116" s="6">
        <v>41696.563379629632</v>
      </c>
      <c r="Q116" s="16" t="s">
        <v>312</v>
      </c>
      <c r="R116" s="17" t="s">
        <v>313</v>
      </c>
      <c r="S116" s="12"/>
      <c r="T116" s="12"/>
      <c r="U116" s="10" t="str">
        <f>HYPERLINK("https://pbs.twimg.com/profile_images/951188977960222721/P3ZmIVlt.jpg","View")</f>
        <v>View</v>
      </c>
    </row>
    <row r="117" spans="1:21" ht="40.799999999999997">
      <c r="A117" s="6">
        <v>43426.62672453704</v>
      </c>
      <c r="B117" s="7" t="str">
        <f>HYPERLINK("https://twitter.com/allendemartinm","@allendemartinm")</f>
        <v>@allendemartinm</v>
      </c>
      <c r="C117" s="8" t="s">
        <v>561</v>
      </c>
      <c r="D117" s="9" t="s">
        <v>562</v>
      </c>
      <c r="E117" s="10" t="str">
        <f>HYPERLINK("https://twitter.com/allendemartinm/status/1065606447315206144","1065606447315206144")</f>
        <v>1065606447315206144</v>
      </c>
      <c r="F117" s="11" t="s">
        <v>563</v>
      </c>
      <c r="G117" s="12"/>
      <c r="H117" s="12"/>
      <c r="I117" s="13">
        <v>0</v>
      </c>
      <c r="J117" s="13">
        <v>1</v>
      </c>
      <c r="K117" s="14" t="str">
        <f t="shared" ref="K117:K118" si="28">HYPERLINK("http://twitter.com","Twitter Web Client")</f>
        <v>Twitter Web Client</v>
      </c>
      <c r="L117" s="13">
        <v>356</v>
      </c>
      <c r="M117" s="13">
        <v>421</v>
      </c>
      <c r="N117" s="13">
        <v>14</v>
      </c>
      <c r="O117" s="15"/>
      <c r="P117" s="6">
        <v>41926.955717592595</v>
      </c>
      <c r="Q117" s="16" t="s">
        <v>44</v>
      </c>
      <c r="R117" s="17" t="s">
        <v>564</v>
      </c>
      <c r="S117" s="11" t="s">
        <v>565</v>
      </c>
      <c r="T117" s="12"/>
      <c r="U117" s="10" t="str">
        <f>HYPERLINK("https://pbs.twimg.com/profile_images/829476550638723072/aQs2ay5V.jpg","View")</f>
        <v>View</v>
      </c>
    </row>
    <row r="118" spans="1:21" ht="51">
      <c r="A118" s="6">
        <v>43426.626539351855</v>
      </c>
      <c r="B118" s="7" t="str">
        <f>HYPERLINK("https://twitter.com/Cuetano68","@Cuetano68")</f>
        <v>@Cuetano68</v>
      </c>
      <c r="C118" s="8" t="s">
        <v>70</v>
      </c>
      <c r="D118" s="9" t="s">
        <v>566</v>
      </c>
      <c r="E118" s="10" t="str">
        <f>HYPERLINK("https://twitter.com/Cuetano68/status/1065606379224870912","1065606379224870912")</f>
        <v>1065606379224870912</v>
      </c>
      <c r="F118" s="11" t="s">
        <v>567</v>
      </c>
      <c r="G118" s="12"/>
      <c r="H118" s="12"/>
      <c r="I118" s="13">
        <v>0</v>
      </c>
      <c r="J118" s="13">
        <v>0</v>
      </c>
      <c r="K118" s="14" t="str">
        <f t="shared" si="28"/>
        <v>Twitter Web Client</v>
      </c>
      <c r="L118" s="13">
        <v>5832</v>
      </c>
      <c r="M118" s="13">
        <v>6113</v>
      </c>
      <c r="N118" s="13">
        <v>121</v>
      </c>
      <c r="O118" s="15"/>
      <c r="P118" s="6">
        <v>40725.851666666669</v>
      </c>
      <c r="Q118" s="16" t="s">
        <v>74</v>
      </c>
      <c r="R118" s="17" t="s">
        <v>75</v>
      </c>
      <c r="S118" s="11" t="s">
        <v>76</v>
      </c>
      <c r="T118" s="12"/>
      <c r="U118" s="10" t="str">
        <f>HYPERLINK("https://pbs.twimg.com/profile_images/900511161799639040/5J9IE4Yv.jpg","View")</f>
        <v>View</v>
      </c>
    </row>
    <row r="119" spans="1:21" ht="40.799999999999997">
      <c r="A119" s="6">
        <v>43426.625694444447</v>
      </c>
      <c r="B119" s="7" t="str">
        <f>HYPERLINK("https://twitter.com/bitMomentum","@bitMomentum")</f>
        <v>@bitMomentum</v>
      </c>
      <c r="C119" s="8" t="s">
        <v>368</v>
      </c>
      <c r="D119" s="9" t="s">
        <v>568</v>
      </c>
      <c r="E119" s="10" t="str">
        <f>HYPERLINK("https://twitter.com/bitMomentum/status/1065606071929237504","1065606071929237504")</f>
        <v>1065606071929237504</v>
      </c>
      <c r="F119" s="12"/>
      <c r="G119" s="12"/>
      <c r="H119" s="12"/>
      <c r="I119" s="13">
        <v>2</v>
      </c>
      <c r="J119" s="13">
        <v>0</v>
      </c>
      <c r="K119" s="14" t="str">
        <f>HYPERLINK("http://www.bitmomentum.com","bitMomentum Bot")</f>
        <v>bitMomentum Bot</v>
      </c>
      <c r="L119" s="13">
        <v>10132</v>
      </c>
      <c r="M119" s="13">
        <v>1060</v>
      </c>
      <c r="N119" s="13">
        <v>267</v>
      </c>
      <c r="O119" s="15"/>
      <c r="P119" s="6">
        <v>41608.667511574073</v>
      </c>
      <c r="Q119" s="12"/>
      <c r="R119" s="17" t="s">
        <v>371</v>
      </c>
      <c r="S119" s="11" t="s">
        <v>372</v>
      </c>
      <c r="T119" s="12"/>
      <c r="U119" s="10" t="str">
        <f>HYPERLINK("https://pbs.twimg.com/profile_images/378800000862185241/20ij2H3u.png","View")</f>
        <v>View</v>
      </c>
    </row>
    <row r="120" spans="1:21" ht="81.599999999999994">
      <c r="A120" s="6">
        <v>43426.624965277777</v>
      </c>
      <c r="B120" s="7" t="str">
        <f>HYPERLINK("https://twitter.com/Sergialex22","@Sergialex22")</f>
        <v>@Sergialex22</v>
      </c>
      <c r="C120" s="8" t="s">
        <v>569</v>
      </c>
      <c r="D120" s="9" t="s">
        <v>570</v>
      </c>
      <c r="E120" s="10" t="str">
        <f>HYPERLINK("https://twitter.com/Sergialex22/status/1065605807092523008","1065605807092523008")</f>
        <v>1065605807092523008</v>
      </c>
      <c r="F120" s="16" t="s">
        <v>134</v>
      </c>
      <c r="G120" s="12"/>
      <c r="H120" s="12"/>
      <c r="I120" s="13">
        <v>1</v>
      </c>
      <c r="J120" s="13">
        <v>1</v>
      </c>
      <c r="K120" s="14" t="str">
        <f>HYPERLINK("http://twitter.com","Twitter Web Client")</f>
        <v>Twitter Web Client</v>
      </c>
      <c r="L120" s="13">
        <v>1161</v>
      </c>
      <c r="M120" s="13">
        <v>895</v>
      </c>
      <c r="N120" s="13">
        <v>10</v>
      </c>
      <c r="O120" s="15"/>
      <c r="P120" s="6">
        <v>41531.770844907405</v>
      </c>
      <c r="Q120" s="16" t="s">
        <v>571</v>
      </c>
      <c r="R120" s="17" t="s">
        <v>572</v>
      </c>
      <c r="S120" s="11" t="s">
        <v>573</v>
      </c>
      <c r="T120" s="12"/>
      <c r="U120" s="10" t="str">
        <f>HYPERLINK("https://pbs.twimg.com/profile_images/1041624242641666048/TT2foysn.jpg","View")</f>
        <v>View</v>
      </c>
    </row>
    <row r="121" spans="1:21" ht="51">
      <c r="A121" s="6">
        <v>43426.624652777777</v>
      </c>
      <c r="B121" s="7" t="str">
        <f>HYPERLINK("https://twitter.com/AzoteCasta","@AzoteCasta")</f>
        <v>@AzoteCasta</v>
      </c>
      <c r="C121" s="8" t="s">
        <v>117</v>
      </c>
      <c r="D121" s="9" t="s">
        <v>577</v>
      </c>
      <c r="E121" s="10" t="str">
        <f>HYPERLINK("https://twitter.com/AzoteCasta/status/1065605696388046849","1065605696388046849")</f>
        <v>1065605696388046849</v>
      </c>
      <c r="F121" s="11" t="s">
        <v>581</v>
      </c>
      <c r="G121" s="12"/>
      <c r="H121" s="12"/>
      <c r="I121" s="13">
        <v>13</v>
      </c>
      <c r="J121" s="13">
        <v>20</v>
      </c>
      <c r="K121" s="14" t="str">
        <f>HYPERLINK("http://twitter.com/download/android","Twitter for Android")</f>
        <v>Twitter for Android</v>
      </c>
      <c r="L121" s="13">
        <v>3638</v>
      </c>
      <c r="M121" s="13">
        <v>2743</v>
      </c>
      <c r="N121" s="13">
        <v>63</v>
      </c>
      <c r="O121" s="15"/>
      <c r="P121" s="6">
        <v>41441.048819444448</v>
      </c>
      <c r="Q121" s="16" t="s">
        <v>66</v>
      </c>
      <c r="R121" s="17" t="s">
        <v>120</v>
      </c>
      <c r="S121" s="12"/>
      <c r="T121" s="12"/>
      <c r="U121" s="10" t="str">
        <f>HYPERLINK("https://pbs.twimg.com/profile_images/1037474236691042309/9t-T1AZv.jpg","View")</f>
        <v>View</v>
      </c>
    </row>
    <row r="122" spans="1:21" ht="51">
      <c r="A122" s="6">
        <v>43426.617986111116</v>
      </c>
      <c r="B122" s="7" t="str">
        <f>HYPERLINK("https://twitter.com/MigueBolanos","@MigueBolanos")</f>
        <v>@MigueBolanos</v>
      </c>
      <c r="C122" s="8" t="s">
        <v>442</v>
      </c>
      <c r="D122" s="9" t="s">
        <v>443</v>
      </c>
      <c r="E122" s="10" t="str">
        <f>HYPERLINK("https://twitter.com/MigueBolanos/status/1065603278375931904","1065603278375931904")</f>
        <v>1065603278375931904</v>
      </c>
      <c r="F122" s="12"/>
      <c r="G122" s="11" t="s">
        <v>446</v>
      </c>
      <c r="H122" s="12"/>
      <c r="I122" s="13">
        <v>0</v>
      </c>
      <c r="J122" s="13">
        <v>0</v>
      </c>
      <c r="K122" s="14" t="str">
        <f>HYPERLINK("http://twitter.com","Twitter Web Client")</f>
        <v>Twitter Web Client</v>
      </c>
      <c r="L122" s="13">
        <v>744</v>
      </c>
      <c r="M122" s="13">
        <v>1064</v>
      </c>
      <c r="N122" s="13">
        <v>27</v>
      </c>
      <c r="O122" s="15"/>
      <c r="P122" s="6">
        <v>40682.783576388887</v>
      </c>
      <c r="Q122" s="16" t="s">
        <v>449</v>
      </c>
      <c r="R122" s="17" t="s">
        <v>450</v>
      </c>
      <c r="S122" s="11" t="s">
        <v>451</v>
      </c>
      <c r="T122" s="12"/>
      <c r="U122" s="10" t="str">
        <f>HYPERLINK("https://pbs.twimg.com/profile_images/838720396924973056/PlwjfyZg.jpg","View")</f>
        <v>View</v>
      </c>
    </row>
    <row r="123" spans="1:21" ht="40.799999999999997">
      <c r="A123" s="6">
        <v>43426.609664351854</v>
      </c>
      <c r="B123" s="7" t="str">
        <f>HYPERLINK("https://twitter.com/f_peips","@f_peips")</f>
        <v>@f_peips</v>
      </c>
      <c r="C123" s="24" t="s">
        <v>586</v>
      </c>
      <c r="D123" s="9" t="s">
        <v>587</v>
      </c>
      <c r="E123" s="10" t="str">
        <f>HYPERLINK("https://twitter.com/f_peips/status/1065600263510212609","1065600263510212609")</f>
        <v>1065600263510212609</v>
      </c>
      <c r="F123" s="12"/>
      <c r="G123" s="12"/>
      <c r="H123" s="12"/>
      <c r="I123" s="13">
        <v>0</v>
      </c>
      <c r="J123" s="13">
        <v>0</v>
      </c>
      <c r="K123" s="14" t="str">
        <f t="shared" ref="K123:K124" si="29">HYPERLINK("http://twitter.com/download/iphone","Twitter for iPhone")</f>
        <v>Twitter for iPhone</v>
      </c>
      <c r="L123" s="13">
        <v>71</v>
      </c>
      <c r="M123" s="13">
        <v>255</v>
      </c>
      <c r="N123" s="13">
        <v>1</v>
      </c>
      <c r="O123" s="15"/>
      <c r="P123" s="6">
        <v>40330.758611111109</v>
      </c>
      <c r="Q123" s="16" t="s">
        <v>66</v>
      </c>
      <c r="R123" s="17" t="s">
        <v>588</v>
      </c>
      <c r="S123" s="12"/>
      <c r="T123" s="12"/>
      <c r="U123" s="10" t="str">
        <f>HYPERLINK("https://pbs.twimg.com/profile_images/807278351379468288/Us1UP4aS.jpg","View")</f>
        <v>View</v>
      </c>
    </row>
    <row r="124" spans="1:21" ht="112.2">
      <c r="A124" s="6">
        <v>43426.596817129626</v>
      </c>
      <c r="B124" s="7" t="str">
        <f>HYPERLINK("https://twitter.com/Jrmgonzalez","@Jrmgonzalez")</f>
        <v>@Jrmgonzalez</v>
      </c>
      <c r="C124" s="8" t="s">
        <v>308</v>
      </c>
      <c r="D124" s="9" t="s">
        <v>590</v>
      </c>
      <c r="E124" s="10" t="str">
        <f>HYPERLINK("https://twitter.com/Jrmgonzalez/status/1065595610185834496","1065595610185834496")</f>
        <v>1065595610185834496</v>
      </c>
      <c r="F124" s="16" t="s">
        <v>591</v>
      </c>
      <c r="G124" s="12"/>
      <c r="H124" s="12"/>
      <c r="I124" s="13">
        <v>1</v>
      </c>
      <c r="J124" s="13">
        <v>3</v>
      </c>
      <c r="K124" s="14" t="str">
        <f t="shared" si="29"/>
        <v>Twitter for iPhone</v>
      </c>
      <c r="L124" s="13">
        <v>32</v>
      </c>
      <c r="M124" s="13">
        <v>265</v>
      </c>
      <c r="N124" s="13">
        <v>2</v>
      </c>
      <c r="O124" s="15"/>
      <c r="P124" s="6">
        <v>41696.563379629632</v>
      </c>
      <c r="Q124" s="16" t="s">
        <v>312</v>
      </c>
      <c r="R124" s="17" t="s">
        <v>313</v>
      </c>
      <c r="S124" s="12"/>
      <c r="T124" s="12"/>
      <c r="U124" s="10" t="str">
        <f>HYPERLINK("https://pbs.twimg.com/profile_images/951188977960222721/P3ZmIVlt.jpg","View")</f>
        <v>View</v>
      </c>
    </row>
    <row r="125" spans="1:21" ht="61.2">
      <c r="A125" s="6">
        <v>43426.58729166667</v>
      </c>
      <c r="B125" s="7" t="str">
        <f>HYPERLINK("https://twitter.com/psolidaridad","@psolidaridad")</f>
        <v>@psolidaridad</v>
      </c>
      <c r="C125" s="8" t="s">
        <v>270</v>
      </c>
      <c r="D125" s="9" t="s">
        <v>592</v>
      </c>
      <c r="E125" s="10" t="str">
        <f>HYPERLINK("https://twitter.com/psolidaridad/status/1065592155740229633","1065592155740229633")</f>
        <v>1065592155740229633</v>
      </c>
      <c r="F125" s="11" t="s">
        <v>593</v>
      </c>
      <c r="G125" s="12"/>
      <c r="H125" s="12"/>
      <c r="I125" s="13">
        <v>1</v>
      </c>
      <c r="J125" s="13">
        <v>0</v>
      </c>
      <c r="K125" s="14" t="str">
        <f>HYPERLINK("http://twitter.com/download/android","Twitter for Android")</f>
        <v>Twitter for Android</v>
      </c>
      <c r="L125" s="13">
        <v>1542</v>
      </c>
      <c r="M125" s="13">
        <v>4648</v>
      </c>
      <c r="N125" s="13">
        <v>1</v>
      </c>
      <c r="O125" s="15"/>
      <c r="P125" s="6">
        <v>41803.502372685187</v>
      </c>
      <c r="Q125" s="12"/>
      <c r="R125" s="17" t="s">
        <v>272</v>
      </c>
      <c r="S125" s="12"/>
      <c r="T125" s="12"/>
      <c r="U125" s="10" t="str">
        <f>HYPERLINK("https://pbs.twimg.com/profile_images/1030394358397317120/oQ0F2vnz.jpg","View")</f>
        <v>View</v>
      </c>
    </row>
    <row r="126" spans="1:21" ht="51">
      <c r="A126" s="6">
        <v>43426.584722222222</v>
      </c>
      <c r="B126" s="7" t="str">
        <f t="shared" ref="B126:B127" si="30">HYPERLINK("https://twitter.com/bitMomentum","@bitMomentum")</f>
        <v>@bitMomentum</v>
      </c>
      <c r="C126" s="8" t="s">
        <v>368</v>
      </c>
      <c r="D126" s="9" t="s">
        <v>598</v>
      </c>
      <c r="E126" s="10" t="str">
        <f>HYPERLINK("https://twitter.com/bitMomentum/status/1065591223942037505","1065591223942037505")</f>
        <v>1065591223942037505</v>
      </c>
      <c r="F126" s="12"/>
      <c r="G126" s="12"/>
      <c r="H126" s="12"/>
      <c r="I126" s="13">
        <v>1</v>
      </c>
      <c r="J126" s="13">
        <v>1</v>
      </c>
      <c r="K126" s="14" t="str">
        <f t="shared" ref="K126:K127" si="31">HYPERLINK("http://www.bitmomentum.com","bitMomentum Bot")</f>
        <v>bitMomentum Bot</v>
      </c>
      <c r="L126" s="13">
        <v>10132</v>
      </c>
      <c r="M126" s="13">
        <v>1060</v>
      </c>
      <c r="N126" s="13">
        <v>267</v>
      </c>
      <c r="O126" s="15"/>
      <c r="P126" s="6">
        <v>41608.667511574073</v>
      </c>
      <c r="Q126" s="12"/>
      <c r="R126" s="17" t="s">
        <v>371</v>
      </c>
      <c r="S126" s="11" t="s">
        <v>372</v>
      </c>
      <c r="T126" s="12"/>
      <c r="U126" s="10" t="str">
        <f t="shared" ref="U126:U127" si="32">HYPERLINK("https://pbs.twimg.com/profile_images/378800000862185241/20ij2H3u.png","View")</f>
        <v>View</v>
      </c>
    </row>
    <row r="127" spans="1:21" ht="51">
      <c r="A127" s="6">
        <v>43426.584027777775</v>
      </c>
      <c r="B127" s="7" t="str">
        <f t="shared" si="30"/>
        <v>@bitMomentum</v>
      </c>
      <c r="C127" s="8" t="s">
        <v>368</v>
      </c>
      <c r="D127" s="9" t="s">
        <v>600</v>
      </c>
      <c r="E127" s="10" t="str">
        <f>HYPERLINK("https://twitter.com/bitMomentum/status/1065590972413825024","1065590972413825024")</f>
        <v>1065590972413825024</v>
      </c>
      <c r="F127" s="12"/>
      <c r="G127" s="12"/>
      <c r="H127" s="12"/>
      <c r="I127" s="13">
        <v>1</v>
      </c>
      <c r="J127" s="13">
        <v>0</v>
      </c>
      <c r="K127" s="14" t="str">
        <f t="shared" si="31"/>
        <v>bitMomentum Bot</v>
      </c>
      <c r="L127" s="13">
        <v>10132</v>
      </c>
      <c r="M127" s="13">
        <v>1060</v>
      </c>
      <c r="N127" s="13">
        <v>267</v>
      </c>
      <c r="O127" s="15"/>
      <c r="P127" s="6">
        <v>41608.667511574073</v>
      </c>
      <c r="Q127" s="12"/>
      <c r="R127" s="17" t="s">
        <v>371</v>
      </c>
      <c r="S127" s="11" t="s">
        <v>372</v>
      </c>
      <c r="T127" s="12"/>
      <c r="U127" s="10" t="str">
        <f t="shared" si="32"/>
        <v>View</v>
      </c>
    </row>
    <row r="128" spans="1:21" ht="61.2">
      <c r="A128" s="6">
        <v>43426.574513888889</v>
      </c>
      <c r="B128" s="7" t="str">
        <f>HYPERLINK("https://twitter.com/psolidaridad","@psolidaridad")</f>
        <v>@psolidaridad</v>
      </c>
      <c r="C128" s="8" t="s">
        <v>270</v>
      </c>
      <c r="D128" s="9" t="s">
        <v>601</v>
      </c>
      <c r="E128" s="10" t="str">
        <f>HYPERLINK("https://twitter.com/psolidaridad/status/1065587526126178304","1065587526126178304")</f>
        <v>1065587526126178304</v>
      </c>
      <c r="F128" s="11" t="s">
        <v>602</v>
      </c>
      <c r="G128" s="12"/>
      <c r="H128" s="12"/>
      <c r="I128" s="13">
        <v>0</v>
      </c>
      <c r="J128" s="13">
        <v>0</v>
      </c>
      <c r="K128" s="14" t="str">
        <f t="shared" ref="K128:K129" si="33">HYPERLINK("http://twitter.com/download/android","Twitter for Android")</f>
        <v>Twitter for Android</v>
      </c>
      <c r="L128" s="13">
        <v>1542</v>
      </c>
      <c r="M128" s="13">
        <v>4648</v>
      </c>
      <c r="N128" s="13">
        <v>1</v>
      </c>
      <c r="O128" s="15"/>
      <c r="P128" s="6">
        <v>41803.502372685187</v>
      </c>
      <c r="Q128" s="12"/>
      <c r="R128" s="17" t="s">
        <v>272</v>
      </c>
      <c r="S128" s="12"/>
      <c r="T128" s="12"/>
      <c r="U128" s="10" t="str">
        <f>HYPERLINK("https://pbs.twimg.com/profile_images/1030394358397317120/oQ0F2vnz.jpg","View")</f>
        <v>View</v>
      </c>
    </row>
    <row r="129" spans="1:21" ht="51">
      <c r="A129" s="6">
        <v>43426.547789351855</v>
      </c>
      <c r="B129" s="7" t="str">
        <f>HYPERLINK("https://twitter.com/Santi_ABASCAL","@Santi_ABASCAL")</f>
        <v>@Santi_ABASCAL</v>
      </c>
      <c r="C129" s="8" t="s">
        <v>182</v>
      </c>
      <c r="D129" s="9" t="s">
        <v>617</v>
      </c>
      <c r="E129" s="10" t="str">
        <f>HYPERLINK("https://twitter.com/Santi_ABASCAL/status/1065577842447212544","1065577842447212544")</f>
        <v>1065577842447212544</v>
      </c>
      <c r="F129" s="11" t="s">
        <v>618</v>
      </c>
      <c r="G129" s="12"/>
      <c r="H129" s="12"/>
      <c r="I129" s="13">
        <v>2929</v>
      </c>
      <c r="J129" s="13">
        <v>6270</v>
      </c>
      <c r="K129" s="14" t="str">
        <f t="shared" si="33"/>
        <v>Twitter for Android</v>
      </c>
      <c r="L129" s="13">
        <v>117602</v>
      </c>
      <c r="M129" s="13">
        <v>3896</v>
      </c>
      <c r="N129" s="13">
        <v>915</v>
      </c>
      <c r="O129" s="23" t="s">
        <v>186</v>
      </c>
      <c r="P129" s="6">
        <v>40606.716446759259</v>
      </c>
      <c r="Q129" s="16" t="s">
        <v>188</v>
      </c>
      <c r="R129" s="17" t="s">
        <v>189</v>
      </c>
      <c r="S129" s="11" t="s">
        <v>190</v>
      </c>
      <c r="T129" s="12"/>
      <c r="U129" s="10" t="str">
        <f>HYPERLINK("https://pbs.twimg.com/profile_images/1010488787686879232/2CnqYKlD.jpg","View")</f>
        <v>View</v>
      </c>
    </row>
    <row r="130" spans="1:21" ht="40.799999999999997">
      <c r="A130" s="6">
        <v>43426.54305555555</v>
      </c>
      <c r="B130" s="7" t="str">
        <f t="shared" ref="B130:B131" si="34">HYPERLINK("https://twitter.com/bitMomentum","@bitMomentum")</f>
        <v>@bitMomentum</v>
      </c>
      <c r="C130" s="8" t="s">
        <v>368</v>
      </c>
      <c r="D130" s="9" t="s">
        <v>603</v>
      </c>
      <c r="E130" s="10" t="str">
        <f>HYPERLINK("https://twitter.com/bitMomentum/status/1065576124317687808","1065576124317687808")</f>
        <v>1065576124317687808</v>
      </c>
      <c r="F130" s="12"/>
      <c r="G130" s="12"/>
      <c r="H130" s="12"/>
      <c r="I130" s="13">
        <v>1</v>
      </c>
      <c r="J130" s="13">
        <v>0</v>
      </c>
      <c r="K130" s="14" t="str">
        <f t="shared" ref="K130:K131" si="35">HYPERLINK("http://www.bitmomentum.com","bitMomentum Bot")</f>
        <v>bitMomentum Bot</v>
      </c>
      <c r="L130" s="13">
        <v>10132</v>
      </c>
      <c r="M130" s="13">
        <v>1060</v>
      </c>
      <c r="N130" s="13">
        <v>267</v>
      </c>
      <c r="O130" s="15"/>
      <c r="P130" s="6">
        <v>41608.667511574073</v>
      </c>
      <c r="Q130" s="12"/>
      <c r="R130" s="17" t="s">
        <v>371</v>
      </c>
      <c r="S130" s="11" t="s">
        <v>372</v>
      </c>
      <c r="T130" s="12"/>
      <c r="U130" s="10" t="str">
        <f t="shared" ref="U130:U131" si="36">HYPERLINK("https://pbs.twimg.com/profile_images/378800000862185241/20ij2H3u.png","View")</f>
        <v>View</v>
      </c>
    </row>
    <row r="131" spans="1:21" ht="40.799999999999997">
      <c r="A131" s="6">
        <v>43426.542361111111</v>
      </c>
      <c r="B131" s="7" t="str">
        <f t="shared" si="34"/>
        <v>@bitMomentum</v>
      </c>
      <c r="C131" s="8" t="s">
        <v>368</v>
      </c>
      <c r="D131" s="9" t="s">
        <v>604</v>
      </c>
      <c r="E131" s="10" t="str">
        <f>HYPERLINK("https://twitter.com/bitMomentum/status/1065575873208901632","1065575873208901632")</f>
        <v>1065575873208901632</v>
      </c>
      <c r="F131" s="12"/>
      <c r="G131" s="12"/>
      <c r="H131" s="12"/>
      <c r="I131" s="13">
        <v>2</v>
      </c>
      <c r="J131" s="13">
        <v>0</v>
      </c>
      <c r="K131" s="14" t="str">
        <f t="shared" si="35"/>
        <v>bitMomentum Bot</v>
      </c>
      <c r="L131" s="13">
        <v>10132</v>
      </c>
      <c r="M131" s="13">
        <v>1060</v>
      </c>
      <c r="N131" s="13">
        <v>267</v>
      </c>
      <c r="O131" s="15"/>
      <c r="P131" s="6">
        <v>41608.667511574073</v>
      </c>
      <c r="Q131" s="12"/>
      <c r="R131" s="17" t="s">
        <v>371</v>
      </c>
      <c r="S131" s="11" t="s">
        <v>372</v>
      </c>
      <c r="T131" s="12"/>
      <c r="U131" s="10" t="str">
        <f t="shared" si="36"/>
        <v>View</v>
      </c>
    </row>
    <row r="132" spans="1:21" ht="81.599999999999994">
      <c r="A132" s="6">
        <v>43426.541041666671</v>
      </c>
      <c r="B132" s="7" t="str">
        <f>HYPERLINK("https://twitter.com/AnaGarcia2Mayo","@AnaGarcia2Mayo")</f>
        <v>@AnaGarcia2Mayo</v>
      </c>
      <c r="C132" s="8" t="s">
        <v>420</v>
      </c>
      <c r="D132" s="9" t="s">
        <v>605</v>
      </c>
      <c r="E132" s="10" t="str">
        <f>HYPERLINK("https://twitter.com/AnaGarcia2Mayo/status/1065575395402092544","1065575395402092544")</f>
        <v>1065575395402092544</v>
      </c>
      <c r="F132" s="11" t="s">
        <v>606</v>
      </c>
      <c r="G132" s="11" t="s">
        <v>607</v>
      </c>
      <c r="H132" s="12"/>
      <c r="I132" s="13">
        <v>3</v>
      </c>
      <c r="J132" s="13">
        <v>4</v>
      </c>
      <c r="K132" s="14" t="str">
        <f t="shared" ref="K132:K133" si="37">HYPERLINK("http://twitter.com/download/android","Twitter for Android")</f>
        <v>Twitter for Android</v>
      </c>
      <c r="L132" s="13">
        <v>23</v>
      </c>
      <c r="M132" s="13">
        <v>19</v>
      </c>
      <c r="N132" s="13">
        <v>0</v>
      </c>
      <c r="O132" s="15"/>
      <c r="P132" s="6">
        <v>43409.777951388889</v>
      </c>
      <c r="Q132" s="16" t="s">
        <v>423</v>
      </c>
      <c r="R132" s="21"/>
      <c r="S132" s="12"/>
      <c r="T132" s="12"/>
      <c r="U132" s="10" t="str">
        <f>HYPERLINK("https://pbs.twimg.com/profile_images/1059501607229014016/9vJV2pGE.jpg","View")</f>
        <v>View</v>
      </c>
    </row>
    <row r="133" spans="1:21" ht="51">
      <c r="A133" s="6">
        <v>43426.532314814816</v>
      </c>
      <c r="B133" s="7" t="str">
        <f>HYPERLINK("https://twitter.com/gallifantes","@gallifantes")</f>
        <v>@gallifantes</v>
      </c>
      <c r="C133" s="8" t="s">
        <v>608</v>
      </c>
      <c r="D133" s="9" t="s">
        <v>609</v>
      </c>
      <c r="E133" s="10" t="str">
        <f>HYPERLINK("https://twitter.com/gallifantes/status/1065572234490757125","1065572234490757125")</f>
        <v>1065572234490757125</v>
      </c>
      <c r="F133" s="12"/>
      <c r="G133" s="12"/>
      <c r="H133" s="12"/>
      <c r="I133" s="13">
        <v>438</v>
      </c>
      <c r="J133" s="13">
        <v>1318</v>
      </c>
      <c r="K133" s="14" t="str">
        <f t="shared" si="37"/>
        <v>Twitter for Android</v>
      </c>
      <c r="L133" s="13">
        <v>94066</v>
      </c>
      <c r="M133" s="13">
        <v>1665</v>
      </c>
      <c r="N133" s="13">
        <v>495</v>
      </c>
      <c r="O133" s="15"/>
      <c r="P133" s="6">
        <v>40585.912465277775</v>
      </c>
      <c r="Q133" s="16" t="s">
        <v>571</v>
      </c>
      <c r="R133" s="17" t="s">
        <v>610</v>
      </c>
      <c r="S133" s="12"/>
      <c r="T133" s="12"/>
      <c r="U133" s="10" t="str">
        <f>HYPERLINK("https://pbs.twimg.com/profile_images/1040276039077912576/BXzuqAwP.jpg","View")</f>
        <v>View</v>
      </c>
    </row>
    <row r="134" spans="1:21" ht="71.400000000000006">
      <c r="A134" s="6">
        <v>43426.527638888889</v>
      </c>
      <c r="B134" s="7" t="str">
        <f>HYPERLINK("https://twitter.com/jmsalvade","@jmsalvade")</f>
        <v>@jmsalvade</v>
      </c>
      <c r="C134" s="8" t="s">
        <v>611</v>
      </c>
      <c r="D134" s="9" t="s">
        <v>612</v>
      </c>
      <c r="E134" s="10" t="str">
        <f>HYPERLINK("https://twitter.com/jmsalvade/status/1065570539685797889","1065570539685797889")</f>
        <v>1065570539685797889</v>
      </c>
      <c r="F134" s="11" t="s">
        <v>613</v>
      </c>
      <c r="G134" s="11" t="s">
        <v>614</v>
      </c>
      <c r="H134" s="12"/>
      <c r="I134" s="13">
        <v>0</v>
      </c>
      <c r="J134" s="13">
        <v>0</v>
      </c>
      <c r="K134" s="14" t="str">
        <f>HYPERLINK("http://twitter.com/download/iphone","Twitter for iPhone")</f>
        <v>Twitter for iPhone</v>
      </c>
      <c r="L134" s="13">
        <v>361</v>
      </c>
      <c r="M134" s="13">
        <v>693</v>
      </c>
      <c r="N134" s="13">
        <v>15</v>
      </c>
      <c r="O134" s="15"/>
      <c r="P134" s="6">
        <v>41260.869745370372</v>
      </c>
      <c r="Q134" s="12"/>
      <c r="R134" s="17" t="s">
        <v>615</v>
      </c>
      <c r="S134" s="11" t="s">
        <v>616</v>
      </c>
      <c r="T134" s="12"/>
      <c r="U134" s="10" t="str">
        <f>HYPERLINK("https://pbs.twimg.com/profile_images/455739214663917568/tdXuqCOx.jpeg","View")</f>
        <v>View</v>
      </c>
    </row>
    <row r="135" spans="1:21" ht="30.6">
      <c r="A135" s="6">
        <v>43426.526296296295</v>
      </c>
      <c r="B135" s="7" t="str">
        <f>HYPERLINK("https://twitter.com/EPGalicia","@EPGalicia")</f>
        <v>@EPGalicia</v>
      </c>
      <c r="C135" s="8" t="s">
        <v>620</v>
      </c>
      <c r="D135" s="9" t="s">
        <v>621</v>
      </c>
      <c r="E135" s="10" t="str">
        <f>HYPERLINK("https://twitter.com/EPGalicia/status/1065570051829379073","1065570051829379073")</f>
        <v>1065570051829379073</v>
      </c>
      <c r="F135" s="11" t="s">
        <v>622</v>
      </c>
      <c r="G135" s="12"/>
      <c r="H135" s="12"/>
      <c r="I135" s="13">
        <v>1</v>
      </c>
      <c r="J135" s="13">
        <v>0</v>
      </c>
      <c r="K135" s="14" t="str">
        <f>HYPERLINK("http://www.europapress.es/galicia/","Twitter editor Galicia")</f>
        <v>Twitter editor Galicia</v>
      </c>
      <c r="L135" s="13">
        <v>19140</v>
      </c>
      <c r="M135" s="13">
        <v>59</v>
      </c>
      <c r="N135" s="13">
        <v>464</v>
      </c>
      <c r="O135" s="15"/>
      <c r="P135" s="6">
        <v>40540.761666666665</v>
      </c>
      <c r="Q135" s="16" t="s">
        <v>623</v>
      </c>
      <c r="R135" s="17" t="s">
        <v>624</v>
      </c>
      <c r="S135" s="11" t="s">
        <v>625</v>
      </c>
      <c r="T135" s="12"/>
      <c r="U135" s="10" t="str">
        <f>HYPERLINK("https://pbs.twimg.com/profile_images/877086329686904832/x5QYkHKN.jpg","View")</f>
        <v>View</v>
      </c>
    </row>
    <row r="136" spans="1:21" ht="51">
      <c r="A136" s="6">
        <v>43426.511296296296</v>
      </c>
      <c r="B136" s="7" t="str">
        <f>HYPERLINK("https://twitter.com/ikuslecom","@ikuslecom")</f>
        <v>@ikuslecom</v>
      </c>
      <c r="C136" s="8" t="s">
        <v>628</v>
      </c>
      <c r="D136" s="9" t="s">
        <v>629</v>
      </c>
      <c r="E136" s="10" t="str">
        <f>HYPERLINK("https://twitter.com/ikuslecom/status/1065564615629828096","1065564615629828096")</f>
        <v>1065564615629828096</v>
      </c>
      <c r="F136" s="11" t="s">
        <v>630</v>
      </c>
      <c r="G136" s="12"/>
      <c r="H136" s="12"/>
      <c r="I136" s="13">
        <v>0</v>
      </c>
      <c r="J136" s="13">
        <v>0</v>
      </c>
      <c r="K136" s="14" t="str">
        <f>HYPERLINK("http://twitter.com","Twitter Web Client")</f>
        <v>Twitter Web Client</v>
      </c>
      <c r="L136" s="13">
        <v>5280</v>
      </c>
      <c r="M136" s="13">
        <v>210</v>
      </c>
      <c r="N136" s="13">
        <v>111</v>
      </c>
      <c r="O136" s="15"/>
      <c r="P136" s="6">
        <v>41276.656909722224</v>
      </c>
      <c r="Q136" s="16" t="s">
        <v>631</v>
      </c>
      <c r="R136" s="17" t="s">
        <v>632</v>
      </c>
      <c r="S136" s="11" t="s">
        <v>633</v>
      </c>
      <c r="T136" s="12"/>
      <c r="U136" s="10" t="str">
        <f>HYPERLINK("https://pbs.twimg.com/profile_images/961194049054105600/ojU0SumC.jpg","View")</f>
        <v>View</v>
      </c>
    </row>
    <row r="137" spans="1:21" ht="20.399999999999999">
      <c r="A137" s="6">
        <v>43426.510567129633</v>
      </c>
      <c r="B137" s="7" t="str">
        <f>HYPERLINK("https://twitter.com/lunadebenidorm","@lunadebenidorm")</f>
        <v>@lunadebenidorm</v>
      </c>
      <c r="C137" s="8" t="s">
        <v>106</v>
      </c>
      <c r="D137" s="9" t="s">
        <v>634</v>
      </c>
      <c r="E137" s="10" t="str">
        <f>HYPERLINK("https://twitter.com/lunadebenidorm/status/1065564354488217601","1065564354488217601")</f>
        <v>1065564354488217601</v>
      </c>
      <c r="F137" s="12"/>
      <c r="G137" s="11" t="s">
        <v>635</v>
      </c>
      <c r="H137" s="12"/>
      <c r="I137" s="13">
        <v>0</v>
      </c>
      <c r="J137" s="13">
        <v>0</v>
      </c>
      <c r="K137" s="14" t="str">
        <f t="shared" ref="K137:K138" si="38">HYPERLINK("http://twitter.com/download/android","Twitter for Android")</f>
        <v>Twitter for Android</v>
      </c>
      <c r="L137" s="13">
        <v>3991</v>
      </c>
      <c r="M137" s="13">
        <v>3978</v>
      </c>
      <c r="N137" s="13">
        <v>79</v>
      </c>
      <c r="O137" s="15"/>
      <c r="P137" s="6">
        <v>41461.81186342593</v>
      </c>
      <c r="Q137" s="12"/>
      <c r="R137" s="17" t="s">
        <v>108</v>
      </c>
      <c r="S137" s="12"/>
      <c r="T137" s="12"/>
      <c r="U137" s="10" t="str">
        <f>HYPERLINK("https://pbs.twimg.com/profile_images/1061229593758257153/rePCQt08.jpg","View")</f>
        <v>View</v>
      </c>
    </row>
    <row r="138" spans="1:21" ht="71.400000000000006">
      <c r="A138" s="6">
        <v>43426.508090277777</v>
      </c>
      <c r="B138" s="7" t="str">
        <f>HYPERLINK("https://twitter.com/geniotweets","@geniotweets")</f>
        <v>@geniotweets</v>
      </c>
      <c r="C138" s="8" t="s">
        <v>636</v>
      </c>
      <c r="D138" s="9" t="s">
        <v>637</v>
      </c>
      <c r="E138" s="10" t="str">
        <f>HYPERLINK("https://twitter.com/geniotweets/status/1065563456760438785","1065563456760438785")</f>
        <v>1065563456760438785</v>
      </c>
      <c r="F138" s="11" t="s">
        <v>638</v>
      </c>
      <c r="G138" s="12"/>
      <c r="H138" s="12"/>
      <c r="I138" s="13">
        <v>2</v>
      </c>
      <c r="J138" s="13">
        <v>3</v>
      </c>
      <c r="K138" s="14" t="str">
        <f t="shared" si="38"/>
        <v>Twitter for Android</v>
      </c>
      <c r="L138" s="13">
        <v>21460</v>
      </c>
      <c r="M138" s="13">
        <v>25012</v>
      </c>
      <c r="N138" s="13">
        <v>91</v>
      </c>
      <c r="O138" s="15"/>
      <c r="P138" s="6">
        <v>40775.235555555555</v>
      </c>
      <c r="Q138" s="16" t="s">
        <v>589</v>
      </c>
      <c r="R138" s="17" t="s">
        <v>639</v>
      </c>
      <c r="S138" s="11" t="s">
        <v>640</v>
      </c>
      <c r="T138" s="12"/>
      <c r="U138" s="10" t="str">
        <f>HYPERLINK("https://pbs.twimg.com/profile_images/378800000356921622/27bc1934f682bbebf284d443675565e2.jpeg","View")</f>
        <v>View</v>
      </c>
    </row>
    <row r="139" spans="1:21" ht="40.799999999999997">
      <c r="A139" s="6">
        <v>43426.500694444447</v>
      </c>
      <c r="B139" s="7" t="str">
        <f>HYPERLINK("https://twitter.com/bitMomentum","@bitMomentum")</f>
        <v>@bitMomentum</v>
      </c>
      <c r="C139" s="8" t="s">
        <v>368</v>
      </c>
      <c r="D139" s="9" t="s">
        <v>641</v>
      </c>
      <c r="E139" s="10" t="str">
        <f>HYPERLINK("https://twitter.com/bitMomentum/status/1065560773341130752","1065560773341130752")</f>
        <v>1065560773341130752</v>
      </c>
      <c r="F139" s="12"/>
      <c r="G139" s="12"/>
      <c r="H139" s="12"/>
      <c r="I139" s="13">
        <v>1</v>
      </c>
      <c r="J139" s="13">
        <v>0</v>
      </c>
      <c r="K139" s="14" t="str">
        <f>HYPERLINK("http://www.bitmomentum.com","bitMomentum Bot")</f>
        <v>bitMomentum Bot</v>
      </c>
      <c r="L139" s="13">
        <v>10132</v>
      </c>
      <c r="M139" s="13">
        <v>1060</v>
      </c>
      <c r="N139" s="13">
        <v>267</v>
      </c>
      <c r="O139" s="15"/>
      <c r="P139" s="6">
        <v>41608.667511574073</v>
      </c>
      <c r="Q139" s="12"/>
      <c r="R139" s="17" t="s">
        <v>371</v>
      </c>
      <c r="S139" s="11" t="s">
        <v>372</v>
      </c>
      <c r="T139" s="12"/>
      <c r="U139" s="10" t="str">
        <f>HYPERLINK("https://pbs.twimg.com/profile_images/378800000862185241/20ij2H3u.png","View")</f>
        <v>View</v>
      </c>
    </row>
    <row r="140" spans="1:21" ht="40.799999999999997">
      <c r="A140" s="6">
        <v>43426.49217592593</v>
      </c>
      <c r="B140" s="7" t="str">
        <f>HYPERLINK("https://twitter.com/lunadebenidorm","@lunadebenidorm")</f>
        <v>@lunadebenidorm</v>
      </c>
      <c r="C140" s="8" t="s">
        <v>106</v>
      </c>
      <c r="D140" s="9" t="s">
        <v>642</v>
      </c>
      <c r="E140" s="10" t="str">
        <f>HYPERLINK("https://twitter.com/lunadebenidorm/status/1065557686937415680","1065557686937415680")</f>
        <v>1065557686937415680</v>
      </c>
      <c r="F140" s="11" t="s">
        <v>643</v>
      </c>
      <c r="G140" s="12"/>
      <c r="H140" s="12"/>
      <c r="I140" s="13">
        <v>0</v>
      </c>
      <c r="J140" s="13">
        <v>0</v>
      </c>
      <c r="K140" s="14" t="str">
        <f t="shared" ref="K140:K141" si="39">HYPERLINK("http://twitter.com/download/android","Twitter for Android")</f>
        <v>Twitter for Android</v>
      </c>
      <c r="L140" s="13">
        <v>3991</v>
      </c>
      <c r="M140" s="13">
        <v>3978</v>
      </c>
      <c r="N140" s="13">
        <v>79</v>
      </c>
      <c r="O140" s="15"/>
      <c r="P140" s="6">
        <v>41461.81186342593</v>
      </c>
      <c r="Q140" s="12"/>
      <c r="R140" s="17" t="s">
        <v>108</v>
      </c>
      <c r="S140" s="12"/>
      <c r="T140" s="12"/>
      <c r="U140" s="10" t="str">
        <f>HYPERLINK("https://pbs.twimg.com/profile_images/1061229593758257153/rePCQt08.jpg","View")</f>
        <v>View</v>
      </c>
    </row>
    <row r="141" spans="1:21" ht="81.599999999999994">
      <c r="A141" s="6">
        <v>43426.486446759256</v>
      </c>
      <c r="B141" s="7" t="str">
        <f>HYPERLINK("https://twitter.com/AzoteCasta","@AzoteCasta")</f>
        <v>@AzoteCasta</v>
      </c>
      <c r="C141" s="8" t="s">
        <v>117</v>
      </c>
      <c r="D141" s="9" t="s">
        <v>645</v>
      </c>
      <c r="E141" s="10" t="str">
        <f>HYPERLINK("https://twitter.com/AzoteCasta/status/1065555611918700544","1065555611918700544")</f>
        <v>1065555611918700544</v>
      </c>
      <c r="F141" s="16" t="s">
        <v>646</v>
      </c>
      <c r="G141" s="12"/>
      <c r="H141" s="12"/>
      <c r="I141" s="13">
        <v>15</v>
      </c>
      <c r="J141" s="13">
        <v>13</v>
      </c>
      <c r="K141" s="14" t="str">
        <f t="shared" si="39"/>
        <v>Twitter for Android</v>
      </c>
      <c r="L141" s="13">
        <v>3638</v>
      </c>
      <c r="M141" s="13">
        <v>2743</v>
      </c>
      <c r="N141" s="13">
        <v>63</v>
      </c>
      <c r="O141" s="15"/>
      <c r="P141" s="6">
        <v>41441.048819444448</v>
      </c>
      <c r="Q141" s="16" t="s">
        <v>66</v>
      </c>
      <c r="R141" s="17" t="s">
        <v>120</v>
      </c>
      <c r="S141" s="12"/>
      <c r="T141" s="12"/>
      <c r="U141" s="10" t="str">
        <f>HYPERLINK("https://pbs.twimg.com/profile_images/1037474236691042309/9t-T1AZv.jpg","View")</f>
        <v>View</v>
      </c>
    </row>
    <row r="142" spans="1:21" ht="40.799999999999997">
      <c r="A142" s="6">
        <v>43426.477638888886</v>
      </c>
      <c r="B142" s="7" t="str">
        <f>HYPERLINK("https://twitter.com/lorenagm7","@lorenagm7")</f>
        <v>@lorenagm7</v>
      </c>
      <c r="C142" s="8" t="s">
        <v>647</v>
      </c>
      <c r="D142" s="9" t="s">
        <v>648</v>
      </c>
      <c r="E142" s="10" t="str">
        <f>HYPERLINK("https://twitter.com/lorenagm7/status/1065552418325303296","1065552418325303296")</f>
        <v>1065552418325303296</v>
      </c>
      <c r="F142" s="11" t="s">
        <v>649</v>
      </c>
      <c r="G142" s="12"/>
      <c r="H142" s="12"/>
      <c r="I142" s="13">
        <v>4</v>
      </c>
      <c r="J142" s="13">
        <v>23</v>
      </c>
      <c r="K142" s="14" t="str">
        <f t="shared" ref="K142:K143" si="40">HYPERLINK("http://twitter.com","Twitter Web Client")</f>
        <v>Twitter Web Client</v>
      </c>
      <c r="L142" s="13">
        <v>12967</v>
      </c>
      <c r="M142" s="13">
        <v>997</v>
      </c>
      <c r="N142" s="13">
        <v>217</v>
      </c>
      <c r="O142" s="15"/>
      <c r="P142" s="6">
        <v>40444.478703703702</v>
      </c>
      <c r="Q142" s="16" t="s">
        <v>650</v>
      </c>
      <c r="R142" s="17" t="s">
        <v>651</v>
      </c>
      <c r="S142" s="12"/>
      <c r="T142" s="12"/>
      <c r="U142" s="10" t="str">
        <f>HYPERLINK("https://pbs.twimg.com/profile_images/986147951226556416/R3VGd3hu.jpg","View")</f>
        <v>View</v>
      </c>
    </row>
    <row r="143" spans="1:21" ht="40.799999999999997">
      <c r="A143" s="6">
        <v>43426.477384259255</v>
      </c>
      <c r="B143" s="7" t="str">
        <f>HYPERLINK("https://twitter.com/JCRodriguezNava","@JCRodriguezNava")</f>
        <v>@JCRodriguezNava</v>
      </c>
      <c r="C143" s="8" t="s">
        <v>652</v>
      </c>
      <c r="D143" s="9" t="s">
        <v>653</v>
      </c>
      <c r="E143" s="10" t="str">
        <f>HYPERLINK("https://twitter.com/JCRodriguezNava/status/1065552326738493441","1065552326738493441")</f>
        <v>1065552326738493441</v>
      </c>
      <c r="F143" s="12"/>
      <c r="G143" s="11" t="s">
        <v>654</v>
      </c>
      <c r="H143" s="12"/>
      <c r="I143" s="13">
        <v>3</v>
      </c>
      <c r="J143" s="13">
        <v>4</v>
      </c>
      <c r="K143" s="14" t="str">
        <f t="shared" si="40"/>
        <v>Twitter Web Client</v>
      </c>
      <c r="L143" s="13">
        <v>869</v>
      </c>
      <c r="M143" s="13">
        <v>895</v>
      </c>
      <c r="N143" s="13">
        <v>3</v>
      </c>
      <c r="O143" s="15"/>
      <c r="P143" s="6">
        <v>40991.854259259257</v>
      </c>
      <c r="Q143" s="16" t="s">
        <v>655</v>
      </c>
      <c r="R143" s="17" t="s">
        <v>656</v>
      </c>
      <c r="S143" s="12"/>
      <c r="T143" s="12"/>
      <c r="U143" s="10" t="str">
        <f>HYPERLINK("https://pbs.twimg.com/profile_images/1034044578788200449/lpBioI0s.jpg","View")</f>
        <v>View</v>
      </c>
    </row>
    <row r="144" spans="1:21" ht="40.799999999999997">
      <c r="A144" s="6">
        <v>43426.459722222222</v>
      </c>
      <c r="B144" s="7" t="str">
        <f t="shared" ref="B144:B145" si="41">HYPERLINK("https://twitter.com/bitMomentum","@bitMomentum")</f>
        <v>@bitMomentum</v>
      </c>
      <c r="C144" s="8" t="s">
        <v>368</v>
      </c>
      <c r="D144" s="9" t="s">
        <v>657</v>
      </c>
      <c r="E144" s="10" t="str">
        <f>HYPERLINK("https://twitter.com/bitMomentum/status/1065545925429477377","1065545925429477377")</f>
        <v>1065545925429477377</v>
      </c>
      <c r="F144" s="12"/>
      <c r="G144" s="12"/>
      <c r="H144" s="12"/>
      <c r="I144" s="13">
        <v>0</v>
      </c>
      <c r="J144" s="13">
        <v>0</v>
      </c>
      <c r="K144" s="14" t="str">
        <f t="shared" ref="K144:K145" si="42">HYPERLINK("http://www.bitmomentum.com","bitMomentum Bot")</f>
        <v>bitMomentum Bot</v>
      </c>
      <c r="L144" s="13">
        <v>10132</v>
      </c>
      <c r="M144" s="13">
        <v>1060</v>
      </c>
      <c r="N144" s="13">
        <v>267</v>
      </c>
      <c r="O144" s="15"/>
      <c r="P144" s="6">
        <v>41608.667511574073</v>
      </c>
      <c r="Q144" s="12"/>
      <c r="R144" s="17" t="s">
        <v>371</v>
      </c>
      <c r="S144" s="11" t="s">
        <v>372</v>
      </c>
      <c r="T144" s="12"/>
      <c r="U144" s="10" t="str">
        <f t="shared" ref="U144:U145" si="43">HYPERLINK("https://pbs.twimg.com/profile_images/378800000862185241/20ij2H3u.png","View")</f>
        <v>View</v>
      </c>
    </row>
    <row r="145" spans="1:21" ht="40.799999999999997">
      <c r="A145" s="6">
        <v>43426.459027777775</v>
      </c>
      <c r="B145" s="7" t="str">
        <f t="shared" si="41"/>
        <v>@bitMomentum</v>
      </c>
      <c r="C145" s="8" t="s">
        <v>368</v>
      </c>
      <c r="D145" s="9" t="s">
        <v>659</v>
      </c>
      <c r="E145" s="10" t="str">
        <f>HYPERLINK("https://twitter.com/bitMomentum/status/1065545673783894016","1065545673783894016")</f>
        <v>1065545673783894016</v>
      </c>
      <c r="F145" s="12"/>
      <c r="G145" s="12"/>
      <c r="H145" s="12"/>
      <c r="I145" s="13">
        <v>1</v>
      </c>
      <c r="J145" s="13">
        <v>0</v>
      </c>
      <c r="K145" s="14" t="str">
        <f t="shared" si="42"/>
        <v>bitMomentum Bot</v>
      </c>
      <c r="L145" s="13">
        <v>10132</v>
      </c>
      <c r="M145" s="13">
        <v>1060</v>
      </c>
      <c r="N145" s="13">
        <v>267</v>
      </c>
      <c r="O145" s="15"/>
      <c r="P145" s="6">
        <v>41608.667511574073</v>
      </c>
      <c r="Q145" s="12"/>
      <c r="R145" s="17" t="s">
        <v>371</v>
      </c>
      <c r="S145" s="11" t="s">
        <v>372</v>
      </c>
      <c r="T145" s="12"/>
      <c r="U145" s="10" t="str">
        <f t="shared" si="43"/>
        <v>View</v>
      </c>
    </row>
    <row r="146" spans="1:21" ht="61.2">
      <c r="A146" s="6">
        <v>43426.438750000001</v>
      </c>
      <c r="B146" s="7" t="str">
        <f>HYPERLINK("https://twitter.com/Santi_ABASCAL","@Santi_ABASCAL")</f>
        <v>@Santi_ABASCAL</v>
      </c>
      <c r="C146" s="8" t="s">
        <v>182</v>
      </c>
      <c r="D146" s="9" t="s">
        <v>702</v>
      </c>
      <c r="E146" s="10" t="str">
        <f>HYPERLINK("https://twitter.com/Santi_ABASCAL/status/1065538327070339072","1065538327070339072")</f>
        <v>1065538327070339072</v>
      </c>
      <c r="F146" s="16" t="s">
        <v>703</v>
      </c>
      <c r="G146" s="12"/>
      <c r="H146" s="12"/>
      <c r="I146" s="13">
        <v>1502</v>
      </c>
      <c r="J146" s="13">
        <v>2645</v>
      </c>
      <c r="K146" s="14" t="str">
        <f>HYPERLINK("http://twitter.com/download/android","Twitter for Android")</f>
        <v>Twitter for Android</v>
      </c>
      <c r="L146" s="13">
        <v>117602</v>
      </c>
      <c r="M146" s="13">
        <v>3896</v>
      </c>
      <c r="N146" s="13">
        <v>915</v>
      </c>
      <c r="O146" s="23" t="s">
        <v>186</v>
      </c>
      <c r="P146" s="6">
        <v>40606.716446759259</v>
      </c>
      <c r="Q146" s="16" t="s">
        <v>188</v>
      </c>
      <c r="R146" s="17" t="s">
        <v>189</v>
      </c>
      <c r="S146" s="11" t="s">
        <v>190</v>
      </c>
      <c r="T146" s="12"/>
      <c r="U146" s="10" t="str">
        <f>HYPERLINK("https://pbs.twimg.com/profile_images/1010488787686879232/2CnqYKlD.jpg","View")</f>
        <v>View</v>
      </c>
    </row>
    <row r="147" spans="1:21" ht="20.399999999999999">
      <c r="A147" s="6">
        <v>43426.427210648151</v>
      </c>
      <c r="B147" s="7" t="str">
        <f>HYPERLINK("https://twitter.com/jesusxrias","@jesusxrias")</f>
        <v>@jesusxrias</v>
      </c>
      <c r="C147" s="8" t="s">
        <v>660</v>
      </c>
      <c r="D147" s="9" t="s">
        <v>661</v>
      </c>
      <c r="E147" s="10" t="str">
        <f>HYPERLINK("https://twitter.com/jesusxrias/status/1065534147085697024","1065534147085697024")</f>
        <v>1065534147085697024</v>
      </c>
      <c r="F147" s="11" t="s">
        <v>540</v>
      </c>
      <c r="G147" s="11" t="s">
        <v>542</v>
      </c>
      <c r="H147" s="12"/>
      <c r="I147" s="13">
        <v>0</v>
      </c>
      <c r="J147" s="13">
        <v>2</v>
      </c>
      <c r="K147" s="14" t="str">
        <f>HYPERLINK("http://twitter.com","Twitter Web Client")</f>
        <v>Twitter Web Client</v>
      </c>
      <c r="L147" s="13">
        <v>294</v>
      </c>
      <c r="M147" s="13">
        <v>466</v>
      </c>
      <c r="N147" s="13">
        <v>5</v>
      </c>
      <c r="O147" s="15"/>
      <c r="P147" s="6">
        <v>41822.96193287037</v>
      </c>
      <c r="Q147" s="16" t="s">
        <v>662</v>
      </c>
      <c r="R147" s="17" t="s">
        <v>663</v>
      </c>
      <c r="S147" s="12"/>
      <c r="T147" s="12"/>
      <c r="U147" s="10" t="str">
        <f>HYPERLINK("https://pbs.twimg.com/profile_images/993574931643490311/fYINE4Qh.jpg","View")</f>
        <v>View</v>
      </c>
    </row>
    <row r="148" spans="1:21" ht="20.399999999999999">
      <c r="A148" s="6">
        <v>43426.420833333337</v>
      </c>
      <c r="B148" s="7" t="str">
        <f>HYPERLINK("https://twitter.com/from1879","@from1879")</f>
        <v>@from1879</v>
      </c>
      <c r="C148" s="8" t="s">
        <v>706</v>
      </c>
      <c r="D148" s="9" t="s">
        <v>707</v>
      </c>
      <c r="E148" s="10" t="str">
        <f>HYPERLINK("https://twitter.com/from1879/status/1065531834283540480","1065531834283540480")</f>
        <v>1065531834283540480</v>
      </c>
      <c r="F148" s="11" t="s">
        <v>710</v>
      </c>
      <c r="G148" s="12"/>
      <c r="H148" s="12"/>
      <c r="I148" s="13">
        <v>0</v>
      </c>
      <c r="J148" s="13">
        <v>0</v>
      </c>
      <c r="K148" s="14" t="str">
        <f>HYPERLINK("http://twitter.com/download/android","Twitter for Android")</f>
        <v>Twitter for Android</v>
      </c>
      <c r="L148" s="13">
        <v>2303</v>
      </c>
      <c r="M148" s="13">
        <v>1802</v>
      </c>
      <c r="N148" s="13">
        <v>87</v>
      </c>
      <c r="O148" s="15"/>
      <c r="P148" s="6">
        <v>40079.669039351851</v>
      </c>
      <c r="Q148" s="16" t="s">
        <v>111</v>
      </c>
      <c r="R148" s="17" t="s">
        <v>711</v>
      </c>
      <c r="S148" s="12"/>
      <c r="T148" s="12"/>
      <c r="U148" s="10" t="str">
        <f>HYPERLINK("https://pbs.twimg.com/profile_images/959376274174234624/sLN7xARs.jpg","View")</f>
        <v>View</v>
      </c>
    </row>
    <row r="149" spans="1:21" ht="40.799999999999997">
      <c r="A149" s="6">
        <v>43426.41805555555</v>
      </c>
      <c r="B149" s="7" t="str">
        <f t="shared" ref="B149:B150" si="44">HYPERLINK("https://twitter.com/bitMomentum","@bitMomentum")</f>
        <v>@bitMomentum</v>
      </c>
      <c r="C149" s="8" t="s">
        <v>368</v>
      </c>
      <c r="D149" s="9" t="s">
        <v>664</v>
      </c>
      <c r="E149" s="10" t="str">
        <f>HYPERLINK("https://twitter.com/bitMomentum/status/1065530825989636096","1065530825989636096")</f>
        <v>1065530825989636096</v>
      </c>
      <c r="F149" s="12"/>
      <c r="G149" s="12"/>
      <c r="H149" s="12"/>
      <c r="I149" s="13">
        <v>0</v>
      </c>
      <c r="J149" s="13">
        <v>0</v>
      </c>
      <c r="K149" s="14" t="str">
        <f t="shared" ref="K149:K150" si="45">HYPERLINK("http://www.bitmomentum.com","bitMomentum Bot")</f>
        <v>bitMomentum Bot</v>
      </c>
      <c r="L149" s="13">
        <v>10132</v>
      </c>
      <c r="M149" s="13">
        <v>1060</v>
      </c>
      <c r="N149" s="13">
        <v>267</v>
      </c>
      <c r="O149" s="15"/>
      <c r="P149" s="6">
        <v>41608.667511574073</v>
      </c>
      <c r="Q149" s="12"/>
      <c r="R149" s="17" t="s">
        <v>371</v>
      </c>
      <c r="S149" s="11" t="s">
        <v>372</v>
      </c>
      <c r="T149" s="12"/>
      <c r="U149" s="10" t="str">
        <f t="shared" ref="U149:U150" si="46">HYPERLINK("https://pbs.twimg.com/profile_images/378800000862185241/20ij2H3u.png","View")</f>
        <v>View</v>
      </c>
    </row>
    <row r="150" spans="1:21" ht="40.799999999999997">
      <c r="A150" s="6">
        <v>43426.417361111111</v>
      </c>
      <c r="B150" s="7" t="str">
        <f t="shared" si="44"/>
        <v>@bitMomentum</v>
      </c>
      <c r="C150" s="8" t="s">
        <v>368</v>
      </c>
      <c r="D150" s="9" t="s">
        <v>665</v>
      </c>
      <c r="E150" s="10" t="str">
        <f>HYPERLINK("https://twitter.com/bitMomentum/status/1065530574293647360","1065530574293647360")</f>
        <v>1065530574293647360</v>
      </c>
      <c r="F150" s="12"/>
      <c r="G150" s="12"/>
      <c r="H150" s="12"/>
      <c r="I150" s="13">
        <v>0</v>
      </c>
      <c r="J150" s="13">
        <v>0</v>
      </c>
      <c r="K150" s="14" t="str">
        <f t="shared" si="45"/>
        <v>bitMomentum Bot</v>
      </c>
      <c r="L150" s="13">
        <v>10132</v>
      </c>
      <c r="M150" s="13">
        <v>1060</v>
      </c>
      <c r="N150" s="13">
        <v>267</v>
      </c>
      <c r="O150" s="15"/>
      <c r="P150" s="6">
        <v>41608.667511574073</v>
      </c>
      <c r="Q150" s="12"/>
      <c r="R150" s="17" t="s">
        <v>371</v>
      </c>
      <c r="S150" s="11" t="s">
        <v>372</v>
      </c>
      <c r="T150" s="12"/>
      <c r="U150" s="10" t="str">
        <f t="shared" si="46"/>
        <v>View</v>
      </c>
    </row>
    <row r="151" spans="1:21" ht="40.799999999999997">
      <c r="A151" s="6">
        <v>43426.398287037038</v>
      </c>
      <c r="B151" s="7" t="str">
        <f>HYPERLINK("https://twitter.com/andaluciacaza","@andaluciacaza")</f>
        <v>@andaluciacaza</v>
      </c>
      <c r="C151" s="8" t="s">
        <v>578</v>
      </c>
      <c r="D151" s="9" t="s">
        <v>579</v>
      </c>
      <c r="E151" s="10" t="str">
        <f>HYPERLINK("https://twitter.com/andaluciacaza/status/1065523662562955265","1065523662562955265")</f>
        <v>1065523662562955265</v>
      </c>
      <c r="F151" s="11" t="s">
        <v>580</v>
      </c>
      <c r="G151" s="11" t="s">
        <v>582</v>
      </c>
      <c r="H151" s="12"/>
      <c r="I151" s="13">
        <v>8</v>
      </c>
      <c r="J151" s="13">
        <v>23</v>
      </c>
      <c r="K151" s="14" t="str">
        <f>HYPERLINK("http://twitter.com/download/iphone","Twitter for iPhone")</f>
        <v>Twitter for iPhone</v>
      </c>
      <c r="L151" s="13">
        <v>5268</v>
      </c>
      <c r="M151" s="13">
        <v>609</v>
      </c>
      <c r="N151" s="13">
        <v>42</v>
      </c>
      <c r="O151" s="15"/>
      <c r="P151" s="6">
        <v>40963.870659722219</v>
      </c>
      <c r="Q151" s="16" t="s">
        <v>583</v>
      </c>
      <c r="R151" s="17" t="s">
        <v>584</v>
      </c>
      <c r="S151" s="11" t="s">
        <v>585</v>
      </c>
      <c r="T151" s="12"/>
      <c r="U151" s="10" t="str">
        <f>HYPERLINK("https://pbs.twimg.com/profile_images/933001755230703618/pWJ6pIQX.jpg","View")</f>
        <v>View</v>
      </c>
    </row>
    <row r="152" spans="1:21" ht="20.399999999999999">
      <c r="A152" s="6">
        <v>43426.390509259261</v>
      </c>
      <c r="B152" s="7" t="str">
        <f>HYPERLINK("https://twitter.com/Prometheus_0_0","@Prometheus_0_0")</f>
        <v>@Prometheus_0_0</v>
      </c>
      <c r="C152" s="8" t="s">
        <v>666</v>
      </c>
      <c r="D152" s="9" t="s">
        <v>667</v>
      </c>
      <c r="E152" s="10" t="str">
        <f>HYPERLINK("https://twitter.com/Prometheus_0_0/status/1065520844087181315","1065520844087181315")</f>
        <v>1065520844087181315</v>
      </c>
      <c r="F152" s="12"/>
      <c r="G152" s="12"/>
      <c r="H152" s="12"/>
      <c r="I152" s="13">
        <v>0</v>
      </c>
      <c r="J152" s="13">
        <v>1</v>
      </c>
      <c r="K152" s="14" t="str">
        <f>HYPERLINK("http://twitter.com/download/android","Twitter for Android")</f>
        <v>Twitter for Android</v>
      </c>
      <c r="L152" s="13">
        <v>200</v>
      </c>
      <c r="M152" s="13">
        <v>196</v>
      </c>
      <c r="N152" s="13">
        <v>1</v>
      </c>
      <c r="O152" s="15"/>
      <c r="P152" s="6">
        <v>43108.784456018519</v>
      </c>
      <c r="Q152" s="16" t="s">
        <v>668</v>
      </c>
      <c r="R152" s="17" t="s">
        <v>669</v>
      </c>
      <c r="S152" s="12"/>
      <c r="T152" s="12"/>
      <c r="U152" s="10" t="str">
        <f>HYPERLINK("https://pbs.twimg.com/profile_images/964254771174658049/fG_3nqeU.jpg","View")</f>
        <v>View</v>
      </c>
    </row>
    <row r="153" spans="1:21" ht="20.399999999999999">
      <c r="A153" s="6">
        <v>43426.3903587963</v>
      </c>
      <c r="B153" s="7" t="str">
        <f>HYPERLINK("https://twitter.com/Sanders_3DG","@Sanders_3DG")</f>
        <v>@Sanders_3DG</v>
      </c>
      <c r="C153" s="8" t="s">
        <v>726</v>
      </c>
      <c r="D153" s="9" t="s">
        <v>727</v>
      </c>
      <c r="E153" s="10" t="str">
        <f>HYPERLINK("https://twitter.com/Sanders_3DG/status/1065520792027447296","1065520792027447296")</f>
        <v>1065520792027447296</v>
      </c>
      <c r="F153" s="12"/>
      <c r="G153" s="12"/>
      <c r="H153" s="12"/>
      <c r="I153" s="13">
        <v>0</v>
      </c>
      <c r="J153" s="13">
        <v>0</v>
      </c>
      <c r="K153" s="14" t="str">
        <f>HYPERLINK("http://twitter.com/download/iphone","Twitter for iPhone")</f>
        <v>Twitter for iPhone</v>
      </c>
      <c r="L153" s="13">
        <v>99</v>
      </c>
      <c r="M153" s="13">
        <v>60</v>
      </c>
      <c r="N153" s="13">
        <v>1</v>
      </c>
      <c r="O153" s="15"/>
      <c r="P153" s="6">
        <v>41060.914918981478</v>
      </c>
      <c r="Q153" s="16" t="s">
        <v>104</v>
      </c>
      <c r="R153" s="17" t="s">
        <v>731</v>
      </c>
      <c r="S153" s="12"/>
      <c r="T153" s="12"/>
      <c r="U153" s="10" t="str">
        <f>HYPERLINK("https://pbs.twimg.com/profile_images/940007144719560705/BcZJdeXp.jpg","View")</f>
        <v>View</v>
      </c>
    </row>
    <row r="154" spans="1:21" ht="30.6">
      <c r="A154" s="6">
        <v>43426.379548611112</v>
      </c>
      <c r="B154" s="7" t="str">
        <f>HYPERLINK("https://twitter.com/Mabe_Fer_","@Mabe_Fer_")</f>
        <v>@Mabe_Fer_</v>
      </c>
      <c r="C154" s="8" t="s">
        <v>594</v>
      </c>
      <c r="D154" s="9" t="s">
        <v>595</v>
      </c>
      <c r="E154" s="10" t="str">
        <f>HYPERLINK("https://twitter.com/Mabe_Fer_/status/1065516874874699777","1065516874874699777")</f>
        <v>1065516874874699777</v>
      </c>
      <c r="F154" s="11" t="s">
        <v>236</v>
      </c>
      <c r="G154" s="12"/>
      <c r="H154" s="12"/>
      <c r="I154" s="13">
        <v>0</v>
      </c>
      <c r="J154" s="13">
        <v>0</v>
      </c>
      <c r="K154" s="14" t="str">
        <f>HYPERLINK("http://twitter.com/download/android","Twitter for Android")</f>
        <v>Twitter for Android</v>
      </c>
      <c r="L154" s="13">
        <v>389</v>
      </c>
      <c r="M154" s="13">
        <v>251</v>
      </c>
      <c r="N154" s="13">
        <v>0</v>
      </c>
      <c r="O154" s="15"/>
      <c r="P154" s="6">
        <v>43237.386134259257</v>
      </c>
      <c r="Q154" s="16" t="s">
        <v>596</v>
      </c>
      <c r="R154" s="17" t="s">
        <v>597</v>
      </c>
      <c r="S154" s="12"/>
      <c r="T154" s="12"/>
      <c r="U154" s="10" t="str">
        <f>HYPERLINK("https://pbs.twimg.com/profile_images/1063816291390316544/8Ae4B9b0.jpg","View")</f>
        <v>View</v>
      </c>
    </row>
    <row r="155" spans="1:21" ht="40.799999999999997">
      <c r="A155" s="6">
        <v>43426.376388888893</v>
      </c>
      <c r="B155" s="7" t="str">
        <f t="shared" ref="B155:B156" si="47">HYPERLINK("https://twitter.com/bitMomentum","@bitMomentum")</f>
        <v>@bitMomentum</v>
      </c>
      <c r="C155" s="8" t="s">
        <v>368</v>
      </c>
      <c r="D155" s="9" t="s">
        <v>670</v>
      </c>
      <c r="E155" s="10" t="str">
        <f>HYPERLINK("https://twitter.com/bitMomentum/status/1065515726486806528","1065515726486806528")</f>
        <v>1065515726486806528</v>
      </c>
      <c r="F155" s="12"/>
      <c r="G155" s="12"/>
      <c r="H155" s="12"/>
      <c r="I155" s="13">
        <v>0</v>
      </c>
      <c r="J155" s="13">
        <v>0</v>
      </c>
      <c r="K155" s="14" t="str">
        <f t="shared" ref="K155:K156" si="48">HYPERLINK("http://www.bitmomentum.com","bitMomentum Bot")</f>
        <v>bitMomentum Bot</v>
      </c>
      <c r="L155" s="13">
        <v>10132</v>
      </c>
      <c r="M155" s="13">
        <v>1060</v>
      </c>
      <c r="N155" s="13">
        <v>267</v>
      </c>
      <c r="O155" s="15"/>
      <c r="P155" s="6">
        <v>41608.667511574073</v>
      </c>
      <c r="Q155" s="12"/>
      <c r="R155" s="17" t="s">
        <v>371</v>
      </c>
      <c r="S155" s="11" t="s">
        <v>372</v>
      </c>
      <c r="T155" s="12"/>
      <c r="U155" s="10" t="str">
        <f t="shared" ref="U155:U156" si="49">HYPERLINK("https://pbs.twimg.com/profile_images/378800000862185241/20ij2H3u.png","View")</f>
        <v>View</v>
      </c>
    </row>
    <row r="156" spans="1:21" ht="51">
      <c r="A156" s="6">
        <v>43426.375694444447</v>
      </c>
      <c r="B156" s="7" t="str">
        <f t="shared" si="47"/>
        <v>@bitMomentum</v>
      </c>
      <c r="C156" s="8" t="s">
        <v>368</v>
      </c>
      <c r="D156" s="9" t="s">
        <v>671</v>
      </c>
      <c r="E156" s="10" t="str">
        <f>HYPERLINK("https://twitter.com/bitMomentum/status/1065515474849542144","1065515474849542144")</f>
        <v>1065515474849542144</v>
      </c>
      <c r="F156" s="12"/>
      <c r="G156" s="12"/>
      <c r="H156" s="12"/>
      <c r="I156" s="13">
        <v>0</v>
      </c>
      <c r="J156" s="13">
        <v>0</v>
      </c>
      <c r="K156" s="14" t="str">
        <f t="shared" si="48"/>
        <v>bitMomentum Bot</v>
      </c>
      <c r="L156" s="13">
        <v>10132</v>
      </c>
      <c r="M156" s="13">
        <v>1060</v>
      </c>
      <c r="N156" s="13">
        <v>267</v>
      </c>
      <c r="O156" s="15"/>
      <c r="P156" s="6">
        <v>41608.667511574073</v>
      </c>
      <c r="Q156" s="12"/>
      <c r="R156" s="17" t="s">
        <v>371</v>
      </c>
      <c r="S156" s="11" t="s">
        <v>372</v>
      </c>
      <c r="T156" s="12"/>
      <c r="U156" s="10" t="str">
        <f t="shared" si="49"/>
        <v>View</v>
      </c>
    </row>
    <row r="157" spans="1:21" ht="51">
      <c r="A157" s="6">
        <v>43426.375567129631</v>
      </c>
      <c r="B157" s="7" t="str">
        <f>HYPERLINK("https://twitter.com/diariobalear_es","@diariobalear_es")</f>
        <v>@diariobalear_es</v>
      </c>
      <c r="C157" s="8" t="s">
        <v>672</v>
      </c>
      <c r="D157" s="9" t="s">
        <v>673</v>
      </c>
      <c r="E157" s="10" t="str">
        <f>HYPERLINK("https://twitter.com/diariobalear_es/status/1065515431283310592","1065515431283310592")</f>
        <v>1065515431283310592</v>
      </c>
      <c r="F157" s="11" t="s">
        <v>674</v>
      </c>
      <c r="G157" s="12"/>
      <c r="H157" s="12"/>
      <c r="I157" s="13">
        <v>3</v>
      </c>
      <c r="J157" s="13">
        <v>4</v>
      </c>
      <c r="K157" s="14" t="str">
        <f t="shared" ref="K157:K158" si="50">HYPERLINK("http://twitter.com","Twitter Web Client")</f>
        <v>Twitter Web Client</v>
      </c>
      <c r="L157" s="13">
        <v>3196</v>
      </c>
      <c r="M157" s="13">
        <v>347</v>
      </c>
      <c r="N157" s="13">
        <v>71</v>
      </c>
      <c r="O157" s="15"/>
      <c r="P157" s="6">
        <v>41694.754687499997</v>
      </c>
      <c r="Q157" s="16" t="s">
        <v>675</v>
      </c>
      <c r="R157" s="17" t="s">
        <v>676</v>
      </c>
      <c r="S157" s="11" t="s">
        <v>677</v>
      </c>
      <c r="T157" s="12"/>
      <c r="U157" s="10" t="str">
        <f>HYPERLINK("https://pbs.twimg.com/profile_images/992417277797597184/28OVRjFF.jpg","View")</f>
        <v>View</v>
      </c>
    </row>
    <row r="158" spans="1:21" ht="40.799999999999997">
      <c r="A158" s="6">
        <v>43426.371782407412</v>
      </c>
      <c r="B158" s="7" t="str">
        <f>HYPERLINK("https://twitter.com/CasoAislado_Es","@CasoAislado_Es")</f>
        <v>@CasoAislado_Es</v>
      </c>
      <c r="C158" s="8" t="s">
        <v>530</v>
      </c>
      <c r="D158" s="9" t="s">
        <v>599</v>
      </c>
      <c r="E158" s="10" t="str">
        <f>HYPERLINK("https://twitter.com/CasoAislado_Es/status/1065514060018520064","1065514060018520064")</f>
        <v>1065514060018520064</v>
      </c>
      <c r="F158" s="11" t="s">
        <v>236</v>
      </c>
      <c r="G158" s="12"/>
      <c r="H158" s="12"/>
      <c r="I158" s="13">
        <v>94</v>
      </c>
      <c r="J158" s="13">
        <v>133</v>
      </c>
      <c r="K158" s="14" t="str">
        <f t="shared" si="50"/>
        <v>Twitter Web Client</v>
      </c>
      <c r="L158" s="13">
        <v>20849</v>
      </c>
      <c r="M158" s="13">
        <v>6396</v>
      </c>
      <c r="N158" s="13">
        <v>145</v>
      </c>
      <c r="O158" s="15"/>
      <c r="P158" s="6">
        <v>40257.560439814813</v>
      </c>
      <c r="Q158" s="16" t="s">
        <v>533</v>
      </c>
      <c r="R158" s="17" t="s">
        <v>534</v>
      </c>
      <c r="S158" s="11" t="s">
        <v>535</v>
      </c>
      <c r="T158" s="12"/>
      <c r="U158" s="10" t="str">
        <f>HYPERLINK("https://pbs.twimg.com/profile_images/818503412702707713/QK1J8CEn.jpg","View")</f>
        <v>View</v>
      </c>
    </row>
    <row r="159" spans="1:21" ht="30.6">
      <c r="A159" s="6">
        <v>43426.364942129629</v>
      </c>
      <c r="B159" s="7" t="str">
        <f>HYPERLINK("https://twitter.com/VictorCaparros","@VictorCaparros")</f>
        <v>@VictorCaparros</v>
      </c>
      <c r="C159" s="8" t="s">
        <v>757</v>
      </c>
      <c r="D159" s="9" t="s">
        <v>758</v>
      </c>
      <c r="E159" s="10" t="str">
        <f>HYPERLINK("https://twitter.com/VictorCaparros/status/1065511581029670912","1065511581029670912")</f>
        <v>1065511581029670912</v>
      </c>
      <c r="F159" s="12"/>
      <c r="G159" s="12"/>
      <c r="H159" s="12"/>
      <c r="I159" s="13">
        <v>2</v>
      </c>
      <c r="J159" s="13">
        <v>5</v>
      </c>
      <c r="K159" s="14" t="str">
        <f>HYPERLINK("http://twitter.com/download/iphone","Twitter for iPhone")</f>
        <v>Twitter for iPhone</v>
      </c>
      <c r="L159" s="13">
        <v>10968</v>
      </c>
      <c r="M159" s="13">
        <v>10163</v>
      </c>
      <c r="N159" s="13">
        <v>15</v>
      </c>
      <c r="O159" s="15"/>
      <c r="P159" s="6">
        <v>42988.648240740746</v>
      </c>
      <c r="Q159" s="16" t="s">
        <v>759</v>
      </c>
      <c r="R159" s="17" t="s">
        <v>760</v>
      </c>
      <c r="S159" s="12"/>
      <c r="T159" s="12"/>
      <c r="U159" s="10" t="str">
        <f>HYPERLINK("https://pbs.twimg.com/profile_images/911131674389426176/LHvQtcKq.jpg","View")</f>
        <v>View</v>
      </c>
    </row>
    <row r="160" spans="1:21" ht="30.6">
      <c r="A160" s="6">
        <v>43426.361863425926</v>
      </c>
      <c r="B160" s="7" t="str">
        <f>HYPERLINK("https://twitter.com/lacunaheineken","@lacunaheineken")</f>
        <v>@lacunaheineken</v>
      </c>
      <c r="C160" s="8" t="s">
        <v>678</v>
      </c>
      <c r="D160" s="9" t="s">
        <v>679</v>
      </c>
      <c r="E160" s="10" t="str">
        <f>HYPERLINK("https://twitter.com/lacunaheineken/status/1065510462144610305","1065510462144610305")</f>
        <v>1065510462144610305</v>
      </c>
      <c r="F160" s="12"/>
      <c r="G160" s="11" t="s">
        <v>680</v>
      </c>
      <c r="H160" s="12"/>
      <c r="I160" s="13">
        <v>0</v>
      </c>
      <c r="J160" s="13">
        <v>0</v>
      </c>
      <c r="K160" s="14" t="str">
        <f>HYPERLINK("http://twitter.com/download/android","Twitter for Android")</f>
        <v>Twitter for Android</v>
      </c>
      <c r="L160" s="13">
        <v>189</v>
      </c>
      <c r="M160" s="13">
        <v>310</v>
      </c>
      <c r="N160" s="13">
        <v>8</v>
      </c>
      <c r="O160" s="15"/>
      <c r="P160" s="6">
        <v>40034.944768518515</v>
      </c>
      <c r="Q160" s="16" t="s">
        <v>681</v>
      </c>
      <c r="R160" s="17" t="s">
        <v>682</v>
      </c>
      <c r="S160" s="12"/>
      <c r="T160" s="12"/>
      <c r="U160" s="10" t="str">
        <f>HYPERLINK("https://pbs.twimg.com/profile_images/642617469929168896/MM3A7uDI.jpg","View")</f>
        <v>View</v>
      </c>
    </row>
    <row r="161" spans="1:21" ht="81.599999999999994">
      <c r="A161" s="6">
        <v>43426.347430555557</v>
      </c>
      <c r="B161" s="7" t="str">
        <f>HYPERLINK("https://twitter.com/SpKekistani","@SpKekistani")</f>
        <v>@SpKekistani</v>
      </c>
      <c r="C161" s="8" t="s">
        <v>767</v>
      </c>
      <c r="D161" s="9" t="s">
        <v>768</v>
      </c>
      <c r="E161" s="10" t="str">
        <f>HYPERLINK("https://twitter.com/SpKekistani/status/1065505233474908160","1065505233474908160")</f>
        <v>1065505233474908160</v>
      </c>
      <c r="F161" s="16" t="s">
        <v>771</v>
      </c>
      <c r="G161" s="11" t="s">
        <v>126</v>
      </c>
      <c r="H161" s="12"/>
      <c r="I161" s="13">
        <v>0</v>
      </c>
      <c r="J161" s="13">
        <v>0</v>
      </c>
      <c r="K161" s="14" t="str">
        <f>HYPERLINK("http://twitter.com/download/iphone","Twitter for iPhone")</f>
        <v>Twitter for iPhone</v>
      </c>
      <c r="L161" s="13">
        <v>115</v>
      </c>
      <c r="M161" s="13">
        <v>248</v>
      </c>
      <c r="N161" s="13">
        <v>2</v>
      </c>
      <c r="O161" s="15"/>
      <c r="P161" s="6">
        <v>43361.58430555556</v>
      </c>
      <c r="Q161" s="16" t="s">
        <v>773</v>
      </c>
      <c r="R161" s="17" t="s">
        <v>774</v>
      </c>
      <c r="S161" s="12"/>
      <c r="T161" s="12"/>
      <c r="U161" s="10" t="str">
        <f>HYPERLINK("https://pbs.twimg.com/profile_images/1042023446039994368/h8XBYZ4J.jpg","View")</f>
        <v>View</v>
      </c>
    </row>
    <row r="162" spans="1:21" ht="51">
      <c r="A162" s="6">
        <v>43426.34574074074</v>
      </c>
      <c r="B162" s="7" t="str">
        <f>HYPERLINK("https://twitter.com/nievamachin","@nievamachin")</f>
        <v>@nievamachin</v>
      </c>
      <c r="C162" s="8" t="s">
        <v>683</v>
      </c>
      <c r="D162" s="9" t="s">
        <v>684</v>
      </c>
      <c r="E162" s="10" t="str">
        <f>HYPERLINK("https://twitter.com/nievamachin/status/1065504623421722624","1065504623421722624")</f>
        <v>1065504623421722624</v>
      </c>
      <c r="F162" s="11" t="s">
        <v>685</v>
      </c>
      <c r="G162" s="12"/>
      <c r="H162" s="12"/>
      <c r="I162" s="13">
        <v>0</v>
      </c>
      <c r="J162" s="13">
        <v>0</v>
      </c>
      <c r="K162" s="14" t="str">
        <f>HYPERLINK("http://twitter.com/download/android","Twitter for Android")</f>
        <v>Twitter for Android</v>
      </c>
      <c r="L162" s="13">
        <v>43</v>
      </c>
      <c r="M162" s="13">
        <v>25</v>
      </c>
      <c r="N162" s="13">
        <v>3</v>
      </c>
      <c r="O162" s="15"/>
      <c r="P162" s="6">
        <v>41190.95752314815</v>
      </c>
      <c r="Q162" s="16" t="s">
        <v>104</v>
      </c>
      <c r="R162" s="17" t="s">
        <v>686</v>
      </c>
      <c r="S162" s="12"/>
      <c r="T162" s="12"/>
      <c r="U162" s="10" t="str">
        <f>HYPERLINK("https://pbs.twimg.com/profile_images/770747718952157185/HvqcCRL8.jpg","View")</f>
        <v>View</v>
      </c>
    </row>
    <row r="163" spans="1:21" ht="51">
      <c r="A163" s="6">
        <v>43426.334722222222</v>
      </c>
      <c r="B163" s="7" t="str">
        <f t="shared" ref="B163:B164" si="51">HYPERLINK("https://twitter.com/bitMomentum","@bitMomentum")</f>
        <v>@bitMomentum</v>
      </c>
      <c r="C163" s="8" t="s">
        <v>368</v>
      </c>
      <c r="D163" s="9" t="s">
        <v>687</v>
      </c>
      <c r="E163" s="10" t="str">
        <f>HYPERLINK("https://twitter.com/bitMomentum/status/1065500626971516928","1065500626971516928")</f>
        <v>1065500626971516928</v>
      </c>
      <c r="F163" s="12"/>
      <c r="G163" s="12"/>
      <c r="H163" s="12"/>
      <c r="I163" s="13">
        <v>0</v>
      </c>
      <c r="J163" s="13">
        <v>0</v>
      </c>
      <c r="K163" s="14" t="str">
        <f t="shared" ref="K163:K164" si="52">HYPERLINK("http://www.bitmomentum.com","bitMomentum Bot")</f>
        <v>bitMomentum Bot</v>
      </c>
      <c r="L163" s="13">
        <v>10132</v>
      </c>
      <c r="M163" s="13">
        <v>1060</v>
      </c>
      <c r="N163" s="13">
        <v>267</v>
      </c>
      <c r="O163" s="15"/>
      <c r="P163" s="6">
        <v>41608.667511574073</v>
      </c>
      <c r="Q163" s="12"/>
      <c r="R163" s="17" t="s">
        <v>371</v>
      </c>
      <c r="S163" s="11" t="s">
        <v>372</v>
      </c>
      <c r="T163" s="12"/>
      <c r="U163" s="10" t="str">
        <f t="shared" ref="U163:U164" si="53">HYPERLINK("https://pbs.twimg.com/profile_images/378800000862185241/20ij2H3u.png","View")</f>
        <v>View</v>
      </c>
    </row>
    <row r="164" spans="1:21" ht="51">
      <c r="A164" s="6">
        <v>43426.334027777775</v>
      </c>
      <c r="B164" s="7" t="str">
        <f t="shared" si="51"/>
        <v>@bitMomentum</v>
      </c>
      <c r="C164" s="8" t="s">
        <v>368</v>
      </c>
      <c r="D164" s="9" t="s">
        <v>688</v>
      </c>
      <c r="E164" s="10" t="str">
        <f>HYPERLINK("https://twitter.com/bitMomentum/status/1065500375174778880","1065500375174778880")</f>
        <v>1065500375174778880</v>
      </c>
      <c r="F164" s="12"/>
      <c r="G164" s="12"/>
      <c r="H164" s="12"/>
      <c r="I164" s="13">
        <v>0</v>
      </c>
      <c r="J164" s="13">
        <v>0</v>
      </c>
      <c r="K164" s="14" t="str">
        <f t="shared" si="52"/>
        <v>bitMomentum Bot</v>
      </c>
      <c r="L164" s="13">
        <v>10132</v>
      </c>
      <c r="M164" s="13">
        <v>1060</v>
      </c>
      <c r="N164" s="13">
        <v>267</v>
      </c>
      <c r="O164" s="15"/>
      <c r="P164" s="6">
        <v>41608.667511574073</v>
      </c>
      <c r="Q164" s="12"/>
      <c r="R164" s="17" t="s">
        <v>371</v>
      </c>
      <c r="S164" s="11" t="s">
        <v>372</v>
      </c>
      <c r="T164" s="12"/>
      <c r="U164" s="10" t="str">
        <f t="shared" si="53"/>
        <v>View</v>
      </c>
    </row>
    <row r="165" spans="1:21" ht="91.8">
      <c r="A165" s="6">
        <v>43426.30537037037</v>
      </c>
      <c r="B165" s="7" t="str">
        <f>HYPERLINK("https://twitter.com/Juan_L_Vicente","@Juan_L_Vicente")</f>
        <v>@Juan_L_Vicente</v>
      </c>
      <c r="C165" s="8" t="s">
        <v>690</v>
      </c>
      <c r="D165" s="9" t="s">
        <v>691</v>
      </c>
      <c r="E165" s="10" t="str">
        <f>HYPERLINK("https://twitter.com/Juan_L_Vicente/status/1065489992896655360","1065489992896655360")</f>
        <v>1065489992896655360</v>
      </c>
      <c r="F165" s="11" t="s">
        <v>692</v>
      </c>
      <c r="G165" s="11" t="s">
        <v>693</v>
      </c>
      <c r="H165" s="12"/>
      <c r="I165" s="13">
        <v>0</v>
      </c>
      <c r="J165" s="13">
        <v>1</v>
      </c>
      <c r="K165" s="14" t="str">
        <f>HYPERLINK("http://twitter.com/#!/download/ipad","Twitter for iPad")</f>
        <v>Twitter for iPad</v>
      </c>
      <c r="L165" s="13">
        <v>168</v>
      </c>
      <c r="M165" s="13">
        <v>47</v>
      </c>
      <c r="N165" s="13">
        <v>18</v>
      </c>
      <c r="O165" s="15"/>
      <c r="P165" s="6">
        <v>41102.419212962966</v>
      </c>
      <c r="Q165" s="12"/>
      <c r="R165" s="17" t="s">
        <v>695</v>
      </c>
      <c r="S165" s="12"/>
      <c r="T165" s="12"/>
      <c r="U165" s="10" t="str">
        <f>HYPERLINK("https://pbs.twimg.com/profile_images/571845006403440640/BBgqv8vP.jpeg","View")</f>
        <v>View</v>
      </c>
    </row>
    <row r="166" spans="1:21" ht="51">
      <c r="A166" s="6">
        <v>43426.29305555555</v>
      </c>
      <c r="B166" s="7" t="str">
        <f t="shared" ref="B166:B167" si="54">HYPERLINK("https://twitter.com/bitMomentum","@bitMomentum")</f>
        <v>@bitMomentum</v>
      </c>
      <c r="C166" s="8" t="s">
        <v>368</v>
      </c>
      <c r="D166" s="9" t="s">
        <v>696</v>
      </c>
      <c r="E166" s="10" t="str">
        <f>HYPERLINK("https://twitter.com/bitMomentum/status/1065485527590293504","1065485527590293504")</f>
        <v>1065485527590293504</v>
      </c>
      <c r="F166" s="12"/>
      <c r="G166" s="12"/>
      <c r="H166" s="12"/>
      <c r="I166" s="13">
        <v>0</v>
      </c>
      <c r="J166" s="13">
        <v>0</v>
      </c>
      <c r="K166" s="14" t="str">
        <f t="shared" ref="K166:K167" si="55">HYPERLINK("http://www.bitmomentum.com","bitMomentum Bot")</f>
        <v>bitMomentum Bot</v>
      </c>
      <c r="L166" s="13">
        <v>10132</v>
      </c>
      <c r="M166" s="13">
        <v>1060</v>
      </c>
      <c r="N166" s="13">
        <v>267</v>
      </c>
      <c r="O166" s="15"/>
      <c r="P166" s="6">
        <v>41608.667511574073</v>
      </c>
      <c r="Q166" s="12"/>
      <c r="R166" s="17" t="s">
        <v>371</v>
      </c>
      <c r="S166" s="11" t="s">
        <v>372</v>
      </c>
      <c r="T166" s="12"/>
      <c r="U166" s="10" t="str">
        <f t="shared" ref="U166:U167" si="56">HYPERLINK("https://pbs.twimg.com/profile_images/378800000862185241/20ij2H3u.png","View")</f>
        <v>View</v>
      </c>
    </row>
    <row r="167" spans="1:21" ht="51">
      <c r="A167" s="6">
        <v>43426.292361111111</v>
      </c>
      <c r="B167" s="7" t="str">
        <f t="shared" si="54"/>
        <v>@bitMomentum</v>
      </c>
      <c r="C167" s="8" t="s">
        <v>368</v>
      </c>
      <c r="D167" s="9" t="s">
        <v>697</v>
      </c>
      <c r="E167" s="10" t="str">
        <f>HYPERLINK("https://twitter.com/bitMomentum/status/1065485275885903873","1065485275885903873")</f>
        <v>1065485275885903873</v>
      </c>
      <c r="F167" s="12"/>
      <c r="G167" s="12"/>
      <c r="H167" s="12"/>
      <c r="I167" s="13">
        <v>0</v>
      </c>
      <c r="J167" s="13">
        <v>0</v>
      </c>
      <c r="K167" s="14" t="str">
        <f t="shared" si="55"/>
        <v>bitMomentum Bot</v>
      </c>
      <c r="L167" s="13">
        <v>10132</v>
      </c>
      <c r="M167" s="13">
        <v>1060</v>
      </c>
      <c r="N167" s="13">
        <v>267</v>
      </c>
      <c r="O167" s="15"/>
      <c r="P167" s="6">
        <v>41608.667511574073</v>
      </c>
      <c r="Q167" s="12"/>
      <c r="R167" s="17" t="s">
        <v>371</v>
      </c>
      <c r="S167" s="11" t="s">
        <v>372</v>
      </c>
      <c r="T167" s="12"/>
      <c r="U167" s="10" t="str">
        <f t="shared" si="56"/>
        <v>View</v>
      </c>
    </row>
    <row r="168" spans="1:21" ht="40.799999999999997">
      <c r="A168" s="6">
        <v>43426.256967592592</v>
      </c>
      <c r="B168" s="7" t="str">
        <f>HYPERLINK("https://twitter.com/drcarlosramoshg","@drcarlosramoshg")</f>
        <v>@drcarlosramoshg</v>
      </c>
      <c r="C168" s="8" t="s">
        <v>130</v>
      </c>
      <c r="D168" s="9" t="s">
        <v>699</v>
      </c>
      <c r="E168" s="10" t="str">
        <f>HYPERLINK("https://twitter.com/drcarlosramoshg/status/1065472448928329728","1065472448928329728")</f>
        <v>1065472448928329728</v>
      </c>
      <c r="F168" s="11" t="s">
        <v>700</v>
      </c>
      <c r="G168" s="11" t="s">
        <v>701</v>
      </c>
      <c r="H168" s="12"/>
      <c r="I168" s="13">
        <v>1</v>
      </c>
      <c r="J168" s="13">
        <v>2</v>
      </c>
      <c r="K168" s="14" t="str">
        <f>HYPERLINK("http://twitter.com/download/iphone","Twitter for iPhone")</f>
        <v>Twitter for iPhone</v>
      </c>
      <c r="L168" s="13">
        <v>58</v>
      </c>
      <c r="M168" s="13">
        <v>44</v>
      </c>
      <c r="N168" s="13">
        <v>0</v>
      </c>
      <c r="O168" s="15"/>
      <c r="P168" s="6">
        <v>40980.565474537041</v>
      </c>
      <c r="Q168" s="16" t="s">
        <v>135</v>
      </c>
      <c r="R168" s="17" t="s">
        <v>136</v>
      </c>
      <c r="S168" s="12"/>
      <c r="T168" s="12"/>
      <c r="U168" s="10" t="str">
        <f>HYPERLINK("https://pbs.twimg.com/profile_images/1891181617/image.jpg","View")</f>
        <v>View</v>
      </c>
    </row>
    <row r="169" spans="1:21" ht="51">
      <c r="A169" s="6">
        <v>43426.251388888893</v>
      </c>
      <c r="B169" s="7" t="str">
        <f t="shared" ref="B169:B170" si="57">HYPERLINK("https://twitter.com/bitMomentum","@bitMomentum")</f>
        <v>@bitMomentum</v>
      </c>
      <c r="C169" s="8" t="s">
        <v>368</v>
      </c>
      <c r="D169" s="9" t="s">
        <v>704</v>
      </c>
      <c r="E169" s="10" t="str">
        <f>HYPERLINK("https://twitter.com/bitMomentum/status/1065470428028825600","1065470428028825600")</f>
        <v>1065470428028825600</v>
      </c>
      <c r="F169" s="12"/>
      <c r="G169" s="12"/>
      <c r="H169" s="12"/>
      <c r="I169" s="13">
        <v>0</v>
      </c>
      <c r="J169" s="13">
        <v>0</v>
      </c>
      <c r="K169" s="14" t="str">
        <f t="shared" ref="K169:K170" si="58">HYPERLINK("http://www.bitmomentum.com","bitMomentum Bot")</f>
        <v>bitMomentum Bot</v>
      </c>
      <c r="L169" s="13">
        <v>10132</v>
      </c>
      <c r="M169" s="13">
        <v>1060</v>
      </c>
      <c r="N169" s="13">
        <v>267</v>
      </c>
      <c r="O169" s="15"/>
      <c r="P169" s="6">
        <v>41608.667511574073</v>
      </c>
      <c r="Q169" s="12"/>
      <c r="R169" s="17" t="s">
        <v>371</v>
      </c>
      <c r="S169" s="11" t="s">
        <v>372</v>
      </c>
      <c r="T169" s="12"/>
      <c r="U169" s="10" t="str">
        <f t="shared" ref="U169:U170" si="59">HYPERLINK("https://pbs.twimg.com/profile_images/378800000862185241/20ij2H3u.png","View")</f>
        <v>View</v>
      </c>
    </row>
    <row r="170" spans="1:21" ht="51">
      <c r="A170" s="6">
        <v>43426.250694444447</v>
      </c>
      <c r="B170" s="7" t="str">
        <f t="shared" si="57"/>
        <v>@bitMomentum</v>
      </c>
      <c r="C170" s="8" t="s">
        <v>368</v>
      </c>
      <c r="D170" s="9" t="s">
        <v>705</v>
      </c>
      <c r="E170" s="10" t="str">
        <f>HYPERLINK("https://twitter.com/bitMomentum/status/1065470176358002688","1065470176358002688")</f>
        <v>1065470176358002688</v>
      </c>
      <c r="F170" s="12"/>
      <c r="G170" s="12"/>
      <c r="H170" s="12"/>
      <c r="I170" s="13">
        <v>1</v>
      </c>
      <c r="J170" s="13">
        <v>0</v>
      </c>
      <c r="K170" s="14" t="str">
        <f t="shared" si="58"/>
        <v>bitMomentum Bot</v>
      </c>
      <c r="L170" s="13">
        <v>10132</v>
      </c>
      <c r="M170" s="13">
        <v>1060</v>
      </c>
      <c r="N170" s="13">
        <v>267</v>
      </c>
      <c r="O170" s="15"/>
      <c r="P170" s="6">
        <v>41608.667511574073</v>
      </c>
      <c r="Q170" s="12"/>
      <c r="R170" s="17" t="s">
        <v>371</v>
      </c>
      <c r="S170" s="11" t="s">
        <v>372</v>
      </c>
      <c r="T170" s="12"/>
      <c r="U170" s="10" t="str">
        <f t="shared" si="59"/>
        <v>View</v>
      </c>
    </row>
    <row r="171" spans="1:21" ht="40.799999999999997">
      <c r="A171" s="6">
        <v>43426.193645833337</v>
      </c>
      <c r="B171" s="7" t="str">
        <f>HYPERLINK("https://twitter.com/JoseLuisdelRio9","@JoseLuisdelRio9")</f>
        <v>@JoseLuisdelRio9</v>
      </c>
      <c r="C171" s="8" t="s">
        <v>114</v>
      </c>
      <c r="D171" s="9" t="s">
        <v>115</v>
      </c>
      <c r="E171" s="10" t="str">
        <f>HYPERLINK("https://twitter.com/JoseLuisdelRio9/status/1065449502168006656","1065449502168006656")</f>
        <v>1065449502168006656</v>
      </c>
      <c r="F171" s="12"/>
      <c r="G171" s="11" t="s">
        <v>116</v>
      </c>
      <c r="H171" s="12"/>
      <c r="I171" s="13">
        <v>1</v>
      </c>
      <c r="J171" s="13">
        <v>4</v>
      </c>
      <c r="K171" s="14" t="str">
        <f t="shared" ref="K171:K172" si="60">HYPERLINK("http://twitter.com/download/android","Twitter for Android")</f>
        <v>Twitter for Android</v>
      </c>
      <c r="L171" s="13">
        <v>1807</v>
      </c>
      <c r="M171" s="13">
        <v>2601</v>
      </c>
      <c r="N171" s="13">
        <v>11</v>
      </c>
      <c r="O171" s="15"/>
      <c r="P171" s="6">
        <v>41780.701782407406</v>
      </c>
      <c r="Q171" s="12"/>
      <c r="R171" s="21"/>
      <c r="S171" s="12"/>
      <c r="T171" s="12"/>
      <c r="U171" s="10" t="str">
        <f>HYPERLINK("https://pbs.twimg.com/profile_images/774235564761616384/v8tceDLo.jpg","View")</f>
        <v>View</v>
      </c>
    </row>
    <row r="172" spans="1:21" ht="20.399999999999999">
      <c r="A172" s="6">
        <v>43426.172615740739</v>
      </c>
      <c r="B172" s="7" t="str">
        <f>HYPERLINK("https://twitter.com/demendoza__","@demendoza__")</f>
        <v>@demendoza__</v>
      </c>
      <c r="C172" s="8" t="s">
        <v>98</v>
      </c>
      <c r="D172" s="9" t="s">
        <v>708</v>
      </c>
      <c r="E172" s="10" t="str">
        <f>HYPERLINK("https://twitter.com/demendoza__/status/1065441884045221889","1065441884045221889")</f>
        <v>1065441884045221889</v>
      </c>
      <c r="F172" s="11" t="s">
        <v>709</v>
      </c>
      <c r="G172" s="12"/>
      <c r="H172" s="12"/>
      <c r="I172" s="13">
        <v>0</v>
      </c>
      <c r="J172" s="13">
        <v>0</v>
      </c>
      <c r="K172" s="14" t="str">
        <f t="shared" si="60"/>
        <v>Twitter for Android</v>
      </c>
      <c r="L172" s="13">
        <v>90</v>
      </c>
      <c r="M172" s="13">
        <v>157</v>
      </c>
      <c r="N172" s="13">
        <v>0</v>
      </c>
      <c r="O172" s="15"/>
      <c r="P172" s="6">
        <v>43421.568993055553</v>
      </c>
      <c r="Q172" s="16" t="s">
        <v>66</v>
      </c>
      <c r="R172" s="17" t="s">
        <v>102</v>
      </c>
      <c r="S172" s="12"/>
      <c r="T172" s="12"/>
      <c r="U172" s="10" t="str">
        <f>HYPERLINK("https://pbs.twimg.com/profile_images/1063971566747353090/702qawWx.jpg","View")</f>
        <v>View</v>
      </c>
    </row>
    <row r="173" spans="1:21" ht="20.399999999999999">
      <c r="A173" s="6">
        <v>43426.155115740738</v>
      </c>
      <c r="B173" s="7" t="str">
        <f>HYPERLINK("https://twitter.com/FenixIgnifugo","@FenixIgnifugo")</f>
        <v>@FenixIgnifugo</v>
      </c>
      <c r="C173" s="8" t="s">
        <v>806</v>
      </c>
      <c r="D173" s="9" t="s">
        <v>807</v>
      </c>
      <c r="E173" s="10" t="str">
        <f>HYPERLINK("https://twitter.com/FenixIgnifugo/status/1065435542572228614","1065435542572228614")</f>
        <v>1065435542572228614</v>
      </c>
      <c r="F173" s="11" t="s">
        <v>540</v>
      </c>
      <c r="G173" s="11" t="s">
        <v>542</v>
      </c>
      <c r="H173" s="12"/>
      <c r="I173" s="13">
        <v>0</v>
      </c>
      <c r="J173" s="13">
        <v>0</v>
      </c>
      <c r="K173" s="14" t="str">
        <f>HYPERLINK("https://mobile.twitter.com","Twitter Lite")</f>
        <v>Twitter Lite</v>
      </c>
      <c r="L173" s="13">
        <v>1792</v>
      </c>
      <c r="M173" s="13">
        <v>1447</v>
      </c>
      <c r="N173" s="13">
        <v>27</v>
      </c>
      <c r="O173" s="15"/>
      <c r="P173" s="6">
        <v>41359.910115740742</v>
      </c>
      <c r="Q173" s="16" t="s">
        <v>809</v>
      </c>
      <c r="R173" s="17" t="s">
        <v>810</v>
      </c>
      <c r="S173" s="11" t="s">
        <v>811</v>
      </c>
      <c r="T173" s="12"/>
      <c r="U173" s="10" t="str">
        <f>HYPERLINK("https://pbs.twimg.com/profile_images/879768740971159552/Rzg_iULy.jpg","View")</f>
        <v>View</v>
      </c>
    </row>
    <row r="174" spans="1:21" ht="30.6">
      <c r="A174" s="6">
        <v>43426.132870370369</v>
      </c>
      <c r="B174" s="7" t="str">
        <f>HYPERLINK("https://twitter.com/tranciela","@tranciela")</f>
        <v>@tranciela</v>
      </c>
      <c r="C174" s="8" t="s">
        <v>712</v>
      </c>
      <c r="D174" s="9" t="s">
        <v>713</v>
      </c>
      <c r="E174" s="10" t="str">
        <f>HYPERLINK("https://twitter.com/tranciela/status/1065427477923864577","1065427477923864577")</f>
        <v>1065427477923864577</v>
      </c>
      <c r="F174" s="12"/>
      <c r="G174" s="11" t="s">
        <v>714</v>
      </c>
      <c r="H174" s="12"/>
      <c r="I174" s="13">
        <v>0</v>
      </c>
      <c r="J174" s="13">
        <v>0</v>
      </c>
      <c r="K174" s="14" t="str">
        <f>HYPERLINK("http://twitter.com/download/android","Twitter for Android")</f>
        <v>Twitter for Android</v>
      </c>
      <c r="L174" s="13">
        <v>124</v>
      </c>
      <c r="M174" s="13">
        <v>479</v>
      </c>
      <c r="N174" s="13">
        <v>0</v>
      </c>
      <c r="O174" s="15"/>
      <c r="P174" s="6">
        <v>41700.660798611112</v>
      </c>
      <c r="Q174" s="16" t="s">
        <v>715</v>
      </c>
      <c r="R174" s="17" t="s">
        <v>716</v>
      </c>
      <c r="S174" s="11" t="s">
        <v>717</v>
      </c>
      <c r="T174" s="12"/>
      <c r="U174" s="10" t="str">
        <f>HYPERLINK("https://pbs.twimg.com/profile_images/1024086436230963205/-oCVK-VA.jpg","View")</f>
        <v>View</v>
      </c>
    </row>
    <row r="175" spans="1:21" ht="51">
      <c r="A175" s="6">
        <v>43426.126388888893</v>
      </c>
      <c r="B175" s="7" t="str">
        <f t="shared" ref="B175:B176" si="61">HYPERLINK("https://twitter.com/bitMomentum","@bitMomentum")</f>
        <v>@bitMomentum</v>
      </c>
      <c r="C175" s="8" t="s">
        <v>368</v>
      </c>
      <c r="D175" s="9" t="s">
        <v>718</v>
      </c>
      <c r="E175" s="10" t="str">
        <f>HYPERLINK("https://twitter.com/bitMomentum/status/1065425130158022656","1065425130158022656")</f>
        <v>1065425130158022656</v>
      </c>
      <c r="F175" s="12"/>
      <c r="G175" s="12"/>
      <c r="H175" s="12"/>
      <c r="I175" s="13">
        <v>0</v>
      </c>
      <c r="J175" s="13">
        <v>0</v>
      </c>
      <c r="K175" s="14" t="str">
        <f t="shared" ref="K175:K176" si="62">HYPERLINK("http://www.bitmomentum.com","bitMomentum Bot")</f>
        <v>bitMomentum Bot</v>
      </c>
      <c r="L175" s="13">
        <v>10132</v>
      </c>
      <c r="M175" s="13">
        <v>1060</v>
      </c>
      <c r="N175" s="13">
        <v>267</v>
      </c>
      <c r="O175" s="15"/>
      <c r="P175" s="6">
        <v>41608.667511574073</v>
      </c>
      <c r="Q175" s="12"/>
      <c r="R175" s="17" t="s">
        <v>371</v>
      </c>
      <c r="S175" s="11" t="s">
        <v>372</v>
      </c>
      <c r="T175" s="12"/>
      <c r="U175" s="10" t="str">
        <f t="shared" ref="U175:U176" si="63">HYPERLINK("https://pbs.twimg.com/profile_images/378800000862185241/20ij2H3u.png","View")</f>
        <v>View</v>
      </c>
    </row>
    <row r="176" spans="1:21" ht="40.799999999999997">
      <c r="A176" s="6">
        <v>43426.125694444447</v>
      </c>
      <c r="B176" s="7" t="str">
        <f t="shared" si="61"/>
        <v>@bitMomentum</v>
      </c>
      <c r="C176" s="8" t="s">
        <v>368</v>
      </c>
      <c r="D176" s="9" t="s">
        <v>719</v>
      </c>
      <c r="E176" s="10" t="str">
        <f>HYPERLINK("https://twitter.com/bitMomentum/status/1065424878063493120","1065424878063493120")</f>
        <v>1065424878063493120</v>
      </c>
      <c r="F176" s="12"/>
      <c r="G176" s="12"/>
      <c r="H176" s="12"/>
      <c r="I176" s="13">
        <v>0</v>
      </c>
      <c r="J176" s="13">
        <v>0</v>
      </c>
      <c r="K176" s="14" t="str">
        <f t="shared" si="62"/>
        <v>bitMomentum Bot</v>
      </c>
      <c r="L176" s="13">
        <v>10132</v>
      </c>
      <c r="M176" s="13">
        <v>1060</v>
      </c>
      <c r="N176" s="13">
        <v>267</v>
      </c>
      <c r="O176" s="15"/>
      <c r="P176" s="6">
        <v>41608.667511574073</v>
      </c>
      <c r="Q176" s="12"/>
      <c r="R176" s="17" t="s">
        <v>371</v>
      </c>
      <c r="S176" s="11" t="s">
        <v>372</v>
      </c>
      <c r="T176" s="12"/>
      <c r="U176" s="10" t="str">
        <f t="shared" si="63"/>
        <v>View</v>
      </c>
    </row>
    <row r="177" spans="1:21" ht="20.399999999999999">
      <c r="A177" s="6">
        <v>43426.099409722221</v>
      </c>
      <c r="B177" s="7" t="str">
        <f>HYPERLINK("https://twitter.com/lunadebenidorm","@lunadebenidorm")</f>
        <v>@lunadebenidorm</v>
      </c>
      <c r="C177" s="8" t="s">
        <v>106</v>
      </c>
      <c r="D177" s="9" t="s">
        <v>720</v>
      </c>
      <c r="E177" s="10" t="str">
        <f>HYPERLINK("https://twitter.com/lunadebenidorm/status/1065415352035827712","1065415352035827712")</f>
        <v>1065415352035827712</v>
      </c>
      <c r="F177" s="12"/>
      <c r="G177" s="11" t="s">
        <v>721</v>
      </c>
      <c r="H177" s="12"/>
      <c r="I177" s="13">
        <v>0</v>
      </c>
      <c r="J177" s="13">
        <v>0</v>
      </c>
      <c r="K177" s="14" t="str">
        <f>HYPERLINK("http://twitter.com/download/android","Twitter for Android")</f>
        <v>Twitter for Android</v>
      </c>
      <c r="L177" s="13">
        <v>3991</v>
      </c>
      <c r="M177" s="13">
        <v>3978</v>
      </c>
      <c r="N177" s="13">
        <v>79</v>
      </c>
      <c r="O177" s="15"/>
      <c r="P177" s="6">
        <v>41461.81186342593</v>
      </c>
      <c r="Q177" s="12"/>
      <c r="R177" s="17" t="s">
        <v>108</v>
      </c>
      <c r="S177" s="12"/>
      <c r="T177" s="12"/>
      <c r="U177" s="10" t="str">
        <f>HYPERLINK("https://pbs.twimg.com/profile_images/1061229593758257153/rePCQt08.jpg","View")</f>
        <v>View</v>
      </c>
    </row>
    <row r="178" spans="1:21" ht="51">
      <c r="A178" s="6">
        <v>43426.084722222222</v>
      </c>
      <c r="B178" s="7" t="str">
        <f t="shared" ref="B178:B179" si="64">HYPERLINK("https://twitter.com/bitMomentum","@bitMomentum")</f>
        <v>@bitMomentum</v>
      </c>
      <c r="C178" s="8" t="s">
        <v>368</v>
      </c>
      <c r="D178" s="9" t="s">
        <v>722</v>
      </c>
      <c r="E178" s="10" t="str">
        <f>HYPERLINK("https://twitter.com/bitMomentum/status/1065410030047035393","1065410030047035393")</f>
        <v>1065410030047035393</v>
      </c>
      <c r="F178" s="12"/>
      <c r="G178" s="12"/>
      <c r="H178" s="12"/>
      <c r="I178" s="13">
        <v>1</v>
      </c>
      <c r="J178" s="13">
        <v>1</v>
      </c>
      <c r="K178" s="14" t="str">
        <f t="shared" ref="K178:K179" si="65">HYPERLINK("http://www.bitmomentum.com","bitMomentum Bot")</f>
        <v>bitMomentum Bot</v>
      </c>
      <c r="L178" s="13">
        <v>10132</v>
      </c>
      <c r="M178" s="13">
        <v>1060</v>
      </c>
      <c r="N178" s="13">
        <v>267</v>
      </c>
      <c r="O178" s="15"/>
      <c r="P178" s="6">
        <v>41608.667511574073</v>
      </c>
      <c r="Q178" s="12"/>
      <c r="R178" s="17" t="s">
        <v>371</v>
      </c>
      <c r="S178" s="11" t="s">
        <v>372</v>
      </c>
      <c r="T178" s="12"/>
      <c r="U178" s="10" t="str">
        <f t="shared" ref="U178:U179" si="66">HYPERLINK("https://pbs.twimg.com/profile_images/378800000862185241/20ij2H3u.png","View")</f>
        <v>View</v>
      </c>
    </row>
    <row r="179" spans="1:21" ht="51">
      <c r="A179" s="6">
        <v>43426.084027777775</v>
      </c>
      <c r="B179" s="7" t="str">
        <f t="shared" si="64"/>
        <v>@bitMomentum</v>
      </c>
      <c r="C179" s="8" t="s">
        <v>368</v>
      </c>
      <c r="D179" s="9" t="s">
        <v>723</v>
      </c>
      <c r="E179" s="10" t="str">
        <f>HYPERLINK("https://twitter.com/bitMomentum/status/1065409778418094080","1065409778418094080")</f>
        <v>1065409778418094080</v>
      </c>
      <c r="F179" s="12"/>
      <c r="G179" s="12"/>
      <c r="H179" s="12"/>
      <c r="I179" s="13">
        <v>0</v>
      </c>
      <c r="J179" s="13">
        <v>1</v>
      </c>
      <c r="K179" s="14" t="str">
        <f t="shared" si="65"/>
        <v>bitMomentum Bot</v>
      </c>
      <c r="L179" s="13">
        <v>10132</v>
      </c>
      <c r="M179" s="13">
        <v>1060</v>
      </c>
      <c r="N179" s="13">
        <v>267</v>
      </c>
      <c r="O179" s="15"/>
      <c r="P179" s="6">
        <v>41608.667511574073</v>
      </c>
      <c r="Q179" s="12"/>
      <c r="R179" s="17" t="s">
        <v>371</v>
      </c>
      <c r="S179" s="11" t="s">
        <v>372</v>
      </c>
      <c r="T179" s="12"/>
      <c r="U179" s="10" t="str">
        <f t="shared" si="66"/>
        <v>View</v>
      </c>
    </row>
    <row r="180" spans="1:21" ht="30.6">
      <c r="A180" s="6">
        <v>43426.053101851852</v>
      </c>
      <c r="B180" s="7" t="str">
        <f>HYPERLINK("https://twitter.com/Xis_Ale_","@Xis_Ale_")</f>
        <v>@Xis_Ale_</v>
      </c>
      <c r="C180" s="8" t="s">
        <v>724</v>
      </c>
      <c r="D180" s="9" t="s">
        <v>725</v>
      </c>
      <c r="E180" s="10" t="str">
        <f>HYPERLINK("https://twitter.com/Xis_Ale_/status/1065398573355937792","1065398573355937792")</f>
        <v>1065398573355937792</v>
      </c>
      <c r="F180" s="12"/>
      <c r="G180" s="12"/>
      <c r="H180" s="12"/>
      <c r="I180" s="13">
        <v>0</v>
      </c>
      <c r="J180" s="13">
        <v>0</v>
      </c>
      <c r="K180" s="14" t="str">
        <f>HYPERLINK("http://twitter.com/download/android","Twitter for Android")</f>
        <v>Twitter for Android</v>
      </c>
      <c r="L180" s="13">
        <v>11</v>
      </c>
      <c r="M180" s="13">
        <v>261</v>
      </c>
      <c r="N180" s="13">
        <v>0</v>
      </c>
      <c r="O180" s="15"/>
      <c r="P180" s="6">
        <v>41922.697638888887</v>
      </c>
      <c r="Q180" s="16" t="s">
        <v>729</v>
      </c>
      <c r="R180" s="17" t="s">
        <v>730</v>
      </c>
      <c r="S180" s="12"/>
      <c r="T180" s="12"/>
      <c r="U180" s="10" t="str">
        <f>HYPERLINK("https://pbs.twimg.com/profile_images/1025140103746920453/6HdnYslE.jpg","View")</f>
        <v>View</v>
      </c>
    </row>
    <row r="181" spans="1:21" ht="51">
      <c r="A181" s="6">
        <v>43426.051134259258</v>
      </c>
      <c r="B181" s="7" t="str">
        <f>HYPERLINK("https://twitter.com/Srcampos96","@Srcampos96")</f>
        <v>@Srcampos96</v>
      </c>
      <c r="C181" s="8" t="s">
        <v>732</v>
      </c>
      <c r="D181" s="9" t="s">
        <v>733</v>
      </c>
      <c r="E181" s="10" t="str">
        <f>HYPERLINK("https://twitter.com/Srcampos96/status/1065397857686093829","1065397857686093829")</f>
        <v>1065397857686093829</v>
      </c>
      <c r="F181" s="16" t="s">
        <v>734</v>
      </c>
      <c r="G181" s="12"/>
      <c r="H181" s="12"/>
      <c r="I181" s="13">
        <v>1</v>
      </c>
      <c r="J181" s="13">
        <v>3</v>
      </c>
      <c r="K181" s="14" t="str">
        <f>HYPERLINK("http://twitter.com","Twitter Web Client")</f>
        <v>Twitter Web Client</v>
      </c>
      <c r="L181" s="13">
        <v>101</v>
      </c>
      <c r="M181" s="13">
        <v>75</v>
      </c>
      <c r="N181" s="13">
        <v>0</v>
      </c>
      <c r="O181" s="15"/>
      <c r="P181" s="6">
        <v>40420.910497685181</v>
      </c>
      <c r="Q181" s="16" t="s">
        <v>735</v>
      </c>
      <c r="R181" s="17" t="s">
        <v>736</v>
      </c>
      <c r="S181" s="12"/>
      <c r="T181" s="12"/>
      <c r="U181" s="10" t="str">
        <f>HYPERLINK("https://pbs.twimg.com/profile_images/1049429214989099010/VIThknIM.jpg","View")</f>
        <v>View</v>
      </c>
    </row>
    <row r="182" spans="1:21" ht="40.799999999999997">
      <c r="A182" s="6">
        <v>43426.04305555555</v>
      </c>
      <c r="B182" s="7" t="str">
        <f t="shared" ref="B182:B183" si="67">HYPERLINK("https://twitter.com/bitMomentum","@bitMomentum")</f>
        <v>@bitMomentum</v>
      </c>
      <c r="C182" s="8" t="s">
        <v>368</v>
      </c>
      <c r="D182" s="9" t="s">
        <v>737</v>
      </c>
      <c r="E182" s="10" t="str">
        <f>HYPERLINK("https://twitter.com/bitMomentum/status/1065394930556825600","1065394930556825600")</f>
        <v>1065394930556825600</v>
      </c>
      <c r="F182" s="12"/>
      <c r="G182" s="12"/>
      <c r="H182" s="12"/>
      <c r="I182" s="13">
        <v>0</v>
      </c>
      <c r="J182" s="13">
        <v>1</v>
      </c>
      <c r="K182" s="14" t="str">
        <f t="shared" ref="K182:K183" si="68">HYPERLINK("http://www.bitmomentum.com","bitMomentum Bot")</f>
        <v>bitMomentum Bot</v>
      </c>
      <c r="L182" s="13">
        <v>10132</v>
      </c>
      <c r="M182" s="13">
        <v>1060</v>
      </c>
      <c r="N182" s="13">
        <v>267</v>
      </c>
      <c r="O182" s="15"/>
      <c r="P182" s="6">
        <v>41608.667511574073</v>
      </c>
      <c r="Q182" s="12"/>
      <c r="R182" s="17" t="s">
        <v>371</v>
      </c>
      <c r="S182" s="11" t="s">
        <v>372</v>
      </c>
      <c r="T182" s="12"/>
      <c r="U182" s="10" t="str">
        <f t="shared" ref="U182:U183" si="69">HYPERLINK("https://pbs.twimg.com/profile_images/378800000862185241/20ij2H3u.png","View")</f>
        <v>View</v>
      </c>
    </row>
    <row r="183" spans="1:21" ht="51">
      <c r="A183" s="6">
        <v>43426.042361111111</v>
      </c>
      <c r="B183" s="7" t="str">
        <f t="shared" si="67"/>
        <v>@bitMomentum</v>
      </c>
      <c r="C183" s="8" t="s">
        <v>368</v>
      </c>
      <c r="D183" s="9" t="s">
        <v>738</v>
      </c>
      <c r="E183" s="10" t="str">
        <f>HYPERLINK("https://twitter.com/bitMomentum/status/1065394678890196992","1065394678890196992")</f>
        <v>1065394678890196992</v>
      </c>
      <c r="F183" s="12"/>
      <c r="G183" s="12"/>
      <c r="H183" s="12"/>
      <c r="I183" s="13">
        <v>0</v>
      </c>
      <c r="J183" s="13">
        <v>1</v>
      </c>
      <c r="K183" s="14" t="str">
        <f t="shared" si="68"/>
        <v>bitMomentum Bot</v>
      </c>
      <c r="L183" s="13">
        <v>10132</v>
      </c>
      <c r="M183" s="13">
        <v>1060</v>
      </c>
      <c r="N183" s="13">
        <v>267</v>
      </c>
      <c r="O183" s="15"/>
      <c r="P183" s="6">
        <v>41608.667511574073</v>
      </c>
      <c r="Q183" s="12"/>
      <c r="R183" s="17" t="s">
        <v>371</v>
      </c>
      <c r="S183" s="11" t="s">
        <v>372</v>
      </c>
      <c r="T183" s="12"/>
      <c r="U183" s="10" t="str">
        <f t="shared" si="69"/>
        <v>View</v>
      </c>
    </row>
    <row r="184" spans="1:21" ht="102">
      <c r="A184" s="6">
        <v>43426.041921296295</v>
      </c>
      <c r="B184" s="7" t="str">
        <f>HYPERLINK("https://twitter.com/VcruedagC","@VcruedagC")</f>
        <v>@VcruedagC</v>
      </c>
      <c r="C184" s="8" t="s">
        <v>739</v>
      </c>
      <c r="D184" s="9" t="s">
        <v>740</v>
      </c>
      <c r="E184" s="10" t="str">
        <f>HYPERLINK("https://twitter.com/VcruedagC/status/1065394522170015744","1065394522170015744")</f>
        <v>1065394522170015744</v>
      </c>
      <c r="F184" s="11" t="s">
        <v>741</v>
      </c>
      <c r="G184" s="11" t="s">
        <v>742</v>
      </c>
      <c r="H184" s="12"/>
      <c r="I184" s="13">
        <v>0</v>
      </c>
      <c r="J184" s="13">
        <v>0</v>
      </c>
      <c r="K184" s="14" t="str">
        <f t="shared" ref="K184:K186" si="70">HYPERLINK("http://twitter.com/download/android","Twitter for Android")</f>
        <v>Twitter for Android</v>
      </c>
      <c r="L184" s="13">
        <v>121</v>
      </c>
      <c r="M184" s="13">
        <v>96</v>
      </c>
      <c r="N184" s="13">
        <v>3</v>
      </c>
      <c r="O184" s="15"/>
      <c r="P184" s="6">
        <v>40705.877175925925</v>
      </c>
      <c r="Q184" s="16" t="s">
        <v>66</v>
      </c>
      <c r="R184" s="17" t="s">
        <v>743</v>
      </c>
      <c r="S184" s="12"/>
      <c r="T184" s="12"/>
      <c r="U184" s="10" t="str">
        <f>HYPERLINK("https://pbs.twimg.com/profile_images/1000100108887830529/Vaqv1c2Q.jpg","View")</f>
        <v>View</v>
      </c>
    </row>
    <row r="185" spans="1:21" ht="51">
      <c r="A185" s="6">
        <v>43426.025150462963</v>
      </c>
      <c r="B185" s="7" t="str">
        <f>HYPERLINK("https://twitter.com/Noquemecanso","@Noquemecanso")</f>
        <v>@Noquemecanso</v>
      </c>
      <c r="C185" s="8" t="s">
        <v>744</v>
      </c>
      <c r="D185" s="9" t="s">
        <v>745</v>
      </c>
      <c r="E185" s="10" t="str">
        <f>HYPERLINK("https://twitter.com/Noquemecanso/status/1065388441897238528","1065388441897238528")</f>
        <v>1065388441897238528</v>
      </c>
      <c r="F185" s="12"/>
      <c r="G185" s="12"/>
      <c r="H185" s="12"/>
      <c r="I185" s="13">
        <v>0</v>
      </c>
      <c r="J185" s="13">
        <v>0</v>
      </c>
      <c r="K185" s="14" t="str">
        <f t="shared" si="70"/>
        <v>Twitter for Android</v>
      </c>
      <c r="L185" s="13">
        <v>570</v>
      </c>
      <c r="M185" s="13">
        <v>2007</v>
      </c>
      <c r="N185" s="13">
        <v>5</v>
      </c>
      <c r="O185" s="15"/>
      <c r="P185" s="6">
        <v>39958.825370370367</v>
      </c>
      <c r="Q185" s="16" t="s">
        <v>746</v>
      </c>
      <c r="R185" s="17" t="s">
        <v>747</v>
      </c>
      <c r="S185" s="11" t="s">
        <v>748</v>
      </c>
      <c r="T185" s="12"/>
      <c r="U185" s="10" t="str">
        <f>HYPERLINK("https://pbs.twimg.com/profile_images/948927279698202624/Cw2oPkeY.jpg","View")</f>
        <v>View</v>
      </c>
    </row>
    <row r="186" spans="1:21" ht="71.400000000000006">
      <c r="A186" s="6">
        <v>43426.006620370375</v>
      </c>
      <c r="B186" s="7" t="str">
        <f>HYPERLINK("https://twitter.com/bsagustino","@bsagustino")</f>
        <v>@bsagustino</v>
      </c>
      <c r="C186" s="8" t="s">
        <v>750</v>
      </c>
      <c r="D186" s="9" t="s">
        <v>751</v>
      </c>
      <c r="E186" s="10" t="str">
        <f>HYPERLINK("https://twitter.com/bsagustino/status/1065381726766186496","1065381726766186496")</f>
        <v>1065381726766186496</v>
      </c>
      <c r="F186" s="11" t="s">
        <v>752</v>
      </c>
      <c r="G186" s="11" t="s">
        <v>753</v>
      </c>
      <c r="H186" s="12"/>
      <c r="I186" s="13">
        <v>2</v>
      </c>
      <c r="J186" s="13">
        <v>3</v>
      </c>
      <c r="K186" s="14" t="str">
        <f t="shared" si="70"/>
        <v>Twitter for Android</v>
      </c>
      <c r="L186" s="13">
        <v>156</v>
      </c>
      <c r="M186" s="13">
        <v>241</v>
      </c>
      <c r="N186" s="13">
        <v>0</v>
      </c>
      <c r="O186" s="15"/>
      <c r="P186" s="6">
        <v>42324.910868055551</v>
      </c>
      <c r="Q186" s="16" t="s">
        <v>754</v>
      </c>
      <c r="R186" s="17" t="s">
        <v>755</v>
      </c>
      <c r="S186" s="12"/>
      <c r="T186" s="12"/>
      <c r="U186" s="10" t="str">
        <f>HYPERLINK("https://pbs.twimg.com/profile_images/1044129342379495424/tA83CQ4h.jpg","View")</f>
        <v>View</v>
      </c>
    </row>
    <row r="187" spans="1:21" ht="51">
      <c r="A187" s="6">
        <v>43426.001388888893</v>
      </c>
      <c r="B187" s="7" t="str">
        <f t="shared" ref="B187:B188" si="71">HYPERLINK("https://twitter.com/bitMomentum","@bitMomentum")</f>
        <v>@bitMomentum</v>
      </c>
      <c r="C187" s="8" t="s">
        <v>368</v>
      </c>
      <c r="D187" s="9" t="s">
        <v>756</v>
      </c>
      <c r="E187" s="10" t="str">
        <f>HYPERLINK("https://twitter.com/bitMomentum/status/1065379830823301120","1065379830823301120")</f>
        <v>1065379830823301120</v>
      </c>
      <c r="F187" s="12"/>
      <c r="G187" s="12"/>
      <c r="H187" s="12"/>
      <c r="I187" s="13">
        <v>0</v>
      </c>
      <c r="J187" s="13">
        <v>1</v>
      </c>
      <c r="K187" s="14" t="str">
        <f t="shared" ref="K187:K188" si="72">HYPERLINK("http://www.bitmomentum.com","bitMomentum Bot")</f>
        <v>bitMomentum Bot</v>
      </c>
      <c r="L187" s="13">
        <v>10132</v>
      </c>
      <c r="M187" s="13">
        <v>1060</v>
      </c>
      <c r="N187" s="13">
        <v>267</v>
      </c>
      <c r="O187" s="15"/>
      <c r="P187" s="6">
        <v>41608.667511574073</v>
      </c>
      <c r="Q187" s="12"/>
      <c r="R187" s="17" t="s">
        <v>371</v>
      </c>
      <c r="S187" s="11" t="s">
        <v>372</v>
      </c>
      <c r="T187" s="12"/>
      <c r="U187" s="10" t="str">
        <f t="shared" ref="U187:U188" si="73">HYPERLINK("https://pbs.twimg.com/profile_images/378800000862185241/20ij2H3u.png","View")</f>
        <v>View</v>
      </c>
    </row>
    <row r="188" spans="1:21" ht="51">
      <c r="A188" s="6">
        <v>43426.000694444447</v>
      </c>
      <c r="B188" s="7" t="str">
        <f t="shared" si="71"/>
        <v>@bitMomentum</v>
      </c>
      <c r="C188" s="8" t="s">
        <v>368</v>
      </c>
      <c r="D188" s="9" t="s">
        <v>761</v>
      </c>
      <c r="E188" s="10" t="str">
        <f>HYPERLINK("https://twitter.com/bitMomentum/status/1065379579219636229","1065379579219636229")</f>
        <v>1065379579219636229</v>
      </c>
      <c r="F188" s="12"/>
      <c r="G188" s="12"/>
      <c r="H188" s="12"/>
      <c r="I188" s="13">
        <v>1</v>
      </c>
      <c r="J188" s="13">
        <v>1</v>
      </c>
      <c r="K188" s="14" t="str">
        <f t="shared" si="72"/>
        <v>bitMomentum Bot</v>
      </c>
      <c r="L188" s="13">
        <v>10132</v>
      </c>
      <c r="M188" s="13">
        <v>1060</v>
      </c>
      <c r="N188" s="13">
        <v>267</v>
      </c>
      <c r="O188" s="15"/>
      <c r="P188" s="6">
        <v>41608.667511574073</v>
      </c>
      <c r="Q188" s="12"/>
      <c r="R188" s="17" t="s">
        <v>371</v>
      </c>
      <c r="S188" s="11" t="s">
        <v>372</v>
      </c>
      <c r="T188" s="12"/>
      <c r="U188" s="10" t="str">
        <f t="shared" si="73"/>
        <v>View</v>
      </c>
    </row>
    <row r="189" spans="1:21" ht="20.399999999999999">
      <c r="A189" s="6">
        <v>43425.995312500003</v>
      </c>
      <c r="B189" s="7" t="str">
        <f>HYPERLINK("https://twitter.com/albgomque","@albgomque")</f>
        <v>@albgomque</v>
      </c>
      <c r="C189" s="8" t="s">
        <v>762</v>
      </c>
      <c r="D189" s="9" t="s">
        <v>763</v>
      </c>
      <c r="E189" s="10" t="str">
        <f>HYPERLINK("https://twitter.com/albgomque/status/1065377628843139074","1065377628843139074")</f>
        <v>1065377628843139074</v>
      </c>
      <c r="F189" s="12"/>
      <c r="G189" s="11" t="s">
        <v>764</v>
      </c>
      <c r="H189" s="12"/>
      <c r="I189" s="13">
        <v>0</v>
      </c>
      <c r="J189" s="13">
        <v>0</v>
      </c>
      <c r="K189" s="14" t="str">
        <f t="shared" ref="K189:K194" si="74">HYPERLINK("http://twitter.com/download/android","Twitter for Android")</f>
        <v>Twitter for Android</v>
      </c>
      <c r="L189" s="13">
        <v>94</v>
      </c>
      <c r="M189" s="13">
        <v>479</v>
      </c>
      <c r="N189" s="13">
        <v>1</v>
      </c>
      <c r="O189" s="15"/>
      <c r="P189" s="6">
        <v>41128.446956018517</v>
      </c>
      <c r="Q189" s="16" t="s">
        <v>765</v>
      </c>
      <c r="R189" s="17" t="s">
        <v>766</v>
      </c>
      <c r="S189" s="12"/>
      <c r="T189" s="12"/>
      <c r="U189" s="10" t="str">
        <f>HYPERLINK("https://pbs.twimg.com/profile_images/953038719430295553/FnPSuoJ5.jpg","View")</f>
        <v>View</v>
      </c>
    </row>
    <row r="190" spans="1:21" ht="51">
      <c r="A190" s="6">
        <v>43425.993229166663</v>
      </c>
      <c r="B190" s="7" t="str">
        <f>HYPERLINK("https://twitter.com/Garca81","@Garca81")</f>
        <v>@Garca81</v>
      </c>
      <c r="C190" s="8" t="s">
        <v>769</v>
      </c>
      <c r="D190" s="9" t="s">
        <v>770</v>
      </c>
      <c r="E190" s="10" t="str">
        <f>HYPERLINK("https://twitter.com/Garca81/status/1065376876724666368","1065376876724666368")</f>
        <v>1065376876724666368</v>
      </c>
      <c r="F190" s="11" t="s">
        <v>772</v>
      </c>
      <c r="G190" s="12"/>
      <c r="H190" s="12"/>
      <c r="I190" s="13">
        <v>0</v>
      </c>
      <c r="J190" s="13">
        <v>0</v>
      </c>
      <c r="K190" s="14" t="str">
        <f t="shared" si="74"/>
        <v>Twitter for Android</v>
      </c>
      <c r="L190" s="13">
        <v>301</v>
      </c>
      <c r="M190" s="13">
        <v>859</v>
      </c>
      <c r="N190" s="13">
        <v>1</v>
      </c>
      <c r="O190" s="15"/>
      <c r="P190" s="6">
        <v>41198.624039351853</v>
      </c>
      <c r="Q190" s="12"/>
      <c r="R190" s="17" t="s">
        <v>775</v>
      </c>
      <c r="S190" s="12"/>
      <c r="T190" s="12"/>
      <c r="U190" s="10" t="str">
        <f>HYPERLINK("https://pbs.twimg.com/profile_images/1019959076376150017/UPceXb4N.jpg","View")</f>
        <v>View</v>
      </c>
    </row>
    <row r="191" spans="1:21" ht="30.6">
      <c r="A191" s="6">
        <v>43425.989722222221</v>
      </c>
      <c r="B191" s="7" t="str">
        <f>HYPERLINK("https://twitter.com/superspain83","@superspain83")</f>
        <v>@superspain83</v>
      </c>
      <c r="C191" s="8" t="s">
        <v>776</v>
      </c>
      <c r="D191" s="9" t="s">
        <v>777</v>
      </c>
      <c r="E191" s="10" t="str">
        <f>HYPERLINK("https://twitter.com/superspain83/status/1065375603384291328","1065375603384291328")</f>
        <v>1065375603384291328</v>
      </c>
      <c r="F191" s="11" t="s">
        <v>778</v>
      </c>
      <c r="G191" s="12"/>
      <c r="H191" s="12"/>
      <c r="I191" s="13">
        <v>0</v>
      </c>
      <c r="J191" s="13">
        <v>0</v>
      </c>
      <c r="K191" s="14" t="str">
        <f t="shared" si="74"/>
        <v>Twitter for Android</v>
      </c>
      <c r="L191" s="13">
        <v>118</v>
      </c>
      <c r="M191" s="13">
        <v>419</v>
      </c>
      <c r="N191" s="13">
        <v>0</v>
      </c>
      <c r="O191" s="15"/>
      <c r="P191" s="6">
        <v>41946.566562499997</v>
      </c>
      <c r="Q191" s="16" t="s">
        <v>779</v>
      </c>
      <c r="R191" s="17" t="s">
        <v>780</v>
      </c>
      <c r="S191" s="12"/>
      <c r="T191" s="12"/>
      <c r="U191" s="10" t="str">
        <f>HYPERLINK("https://pbs.twimg.com/profile_images/958107082250694656/l5HBQT4e.jpg","View")</f>
        <v>View</v>
      </c>
    </row>
    <row r="192" spans="1:21" ht="51">
      <c r="A192" s="6">
        <v>43425.989571759259</v>
      </c>
      <c r="B192" s="7" t="str">
        <f>HYPERLINK("https://twitter.com/Santi_ABASCAL","@Santi_ABASCAL")</f>
        <v>@Santi_ABASCAL</v>
      </c>
      <c r="C192" s="8" t="s">
        <v>182</v>
      </c>
      <c r="D192" s="9" t="s">
        <v>921</v>
      </c>
      <c r="E192" s="10" t="str">
        <f>HYPERLINK("https://twitter.com/Santi_ABASCAL/status/1065375549374283776","1065375549374283776")</f>
        <v>1065375549374283776</v>
      </c>
      <c r="F192" s="12"/>
      <c r="G192" s="11" t="s">
        <v>925</v>
      </c>
      <c r="H192" s="12"/>
      <c r="I192" s="13">
        <v>2020</v>
      </c>
      <c r="J192" s="13">
        <v>4270</v>
      </c>
      <c r="K192" s="14" t="str">
        <f t="shared" si="74"/>
        <v>Twitter for Android</v>
      </c>
      <c r="L192" s="13">
        <v>117602</v>
      </c>
      <c r="M192" s="13">
        <v>3896</v>
      </c>
      <c r="N192" s="13">
        <v>915</v>
      </c>
      <c r="O192" s="23" t="s">
        <v>186</v>
      </c>
      <c r="P192" s="6">
        <v>40606.716446759259</v>
      </c>
      <c r="Q192" s="16" t="s">
        <v>188</v>
      </c>
      <c r="R192" s="17" t="s">
        <v>189</v>
      </c>
      <c r="S192" s="11" t="s">
        <v>190</v>
      </c>
      <c r="T192" s="12"/>
      <c r="U192" s="10" t="str">
        <f>HYPERLINK("https://pbs.twimg.com/profile_images/1010488787686879232/2CnqYKlD.jpg","View")</f>
        <v>View</v>
      </c>
    </row>
    <row r="193" spans="1:21" ht="51">
      <c r="A193" s="6">
        <v>43425.981898148151</v>
      </c>
      <c r="B193" s="7" t="str">
        <f>HYPERLINK("https://twitter.com/LaVozdeCasandra","@LaVozdeCasandra")</f>
        <v>@LaVozdeCasandra</v>
      </c>
      <c r="C193" s="8" t="s">
        <v>781</v>
      </c>
      <c r="D193" s="9" t="s">
        <v>782</v>
      </c>
      <c r="E193" s="10" t="str">
        <f>HYPERLINK("https://twitter.com/LaVozdeCasandra/status/1065372768148090880","1065372768148090880")</f>
        <v>1065372768148090880</v>
      </c>
      <c r="F193" s="11" t="s">
        <v>783</v>
      </c>
      <c r="G193" s="11" t="s">
        <v>784</v>
      </c>
      <c r="H193" s="12"/>
      <c r="I193" s="13">
        <v>1</v>
      </c>
      <c r="J193" s="13">
        <v>1</v>
      </c>
      <c r="K193" s="14" t="str">
        <f t="shared" si="74"/>
        <v>Twitter for Android</v>
      </c>
      <c r="L193" s="13">
        <v>2979</v>
      </c>
      <c r="M193" s="13">
        <v>4336</v>
      </c>
      <c r="N193" s="13">
        <v>36</v>
      </c>
      <c r="O193" s="15"/>
      <c r="P193" s="6">
        <v>40869.776712962965</v>
      </c>
      <c r="Q193" s="12"/>
      <c r="R193" s="17" t="s">
        <v>785</v>
      </c>
      <c r="S193" s="12"/>
      <c r="T193" s="12"/>
      <c r="U193" s="10" t="str">
        <f>HYPERLINK("https://pbs.twimg.com/profile_images/1057718656757628930/Bk1-ksgE.jpg","View")</f>
        <v>View</v>
      </c>
    </row>
    <row r="194" spans="1:21" ht="81.599999999999994">
      <c r="A194" s="6">
        <v>43425.980706018519</v>
      </c>
      <c r="B194" s="7" t="str">
        <f>HYPERLINK("https://twitter.com/f_r_david","@f_r_david")</f>
        <v>@f_r_david</v>
      </c>
      <c r="C194" s="8" t="s">
        <v>786</v>
      </c>
      <c r="D194" s="9" t="s">
        <v>787</v>
      </c>
      <c r="E194" s="10" t="str">
        <f>HYPERLINK("https://twitter.com/f_r_david/status/1065372338898812928","1065372338898812928")</f>
        <v>1065372338898812928</v>
      </c>
      <c r="F194" s="16" t="s">
        <v>788</v>
      </c>
      <c r="G194" s="12"/>
      <c r="H194" s="12"/>
      <c r="I194" s="13">
        <v>0</v>
      </c>
      <c r="J194" s="13">
        <v>0</v>
      </c>
      <c r="K194" s="14" t="str">
        <f t="shared" si="74"/>
        <v>Twitter for Android</v>
      </c>
      <c r="L194" s="13">
        <v>42</v>
      </c>
      <c r="M194" s="13">
        <v>249</v>
      </c>
      <c r="N194" s="13">
        <v>0</v>
      </c>
      <c r="O194" s="15"/>
      <c r="P194" s="6">
        <v>40117.802650462967</v>
      </c>
      <c r="Q194" s="16" t="s">
        <v>789</v>
      </c>
      <c r="R194" s="21"/>
      <c r="S194" s="12"/>
      <c r="T194" s="12"/>
      <c r="U194" s="10" t="str">
        <f>HYPERLINK("https://pbs.twimg.com/profile_images/1027887506509967360/_wRS1tQ0.jpg","View")</f>
        <v>View</v>
      </c>
    </row>
    <row r="195" spans="1:21" ht="30.6">
      <c r="A195" s="6">
        <v>43425.965335648143</v>
      </c>
      <c r="B195" s="7" t="str">
        <f>HYPERLINK("https://twitter.com/juanmelr8","@juanmelr8")</f>
        <v>@juanmelr8</v>
      </c>
      <c r="C195" s="8" t="s">
        <v>790</v>
      </c>
      <c r="D195" s="9" t="s">
        <v>791</v>
      </c>
      <c r="E195" s="10" t="str">
        <f>HYPERLINK("https://twitter.com/juanmelr8/status/1065366768137449473","1065366768137449473")</f>
        <v>1065366768137449473</v>
      </c>
      <c r="F195" s="12"/>
      <c r="G195" s="12"/>
      <c r="H195" s="12"/>
      <c r="I195" s="13">
        <v>0</v>
      </c>
      <c r="J195" s="13">
        <v>0</v>
      </c>
      <c r="K195" s="14" t="str">
        <f t="shared" ref="K195:K196" si="75">HYPERLINK("http://twitter.com/download/iphone","Twitter for iPhone")</f>
        <v>Twitter for iPhone</v>
      </c>
      <c r="L195" s="13">
        <v>47</v>
      </c>
      <c r="M195" s="13">
        <v>48</v>
      </c>
      <c r="N195" s="13">
        <v>0</v>
      </c>
      <c r="O195" s="15"/>
      <c r="P195" s="6">
        <v>41580.480162037034</v>
      </c>
      <c r="Q195" s="12"/>
      <c r="R195" s="21"/>
      <c r="S195" s="12"/>
      <c r="T195" s="12"/>
      <c r="U195" s="10" t="str">
        <f>HYPERLINK("https://pbs.twimg.com/profile_images/1049535759504613378/2zqwyNou.jpg","View")</f>
        <v>View</v>
      </c>
    </row>
    <row r="196" spans="1:21" ht="40.799999999999997">
      <c r="A196" s="6">
        <v>43425.964791666665</v>
      </c>
      <c r="B196" s="7" t="str">
        <f>HYPERLINK("https://twitter.com/Angel_Esojo","@Angel_Esojo")</f>
        <v>@Angel_Esojo</v>
      </c>
      <c r="C196" s="8" t="s">
        <v>792</v>
      </c>
      <c r="D196" s="9" t="s">
        <v>793</v>
      </c>
      <c r="E196" s="10" t="str">
        <f>HYPERLINK("https://twitter.com/Angel_Esojo/status/1065366570573139968","1065366570573139968")</f>
        <v>1065366570573139968</v>
      </c>
      <c r="F196" s="12"/>
      <c r="G196" s="11" t="s">
        <v>794</v>
      </c>
      <c r="H196" s="12"/>
      <c r="I196" s="13">
        <v>0</v>
      </c>
      <c r="J196" s="13">
        <v>0</v>
      </c>
      <c r="K196" s="14" t="str">
        <f t="shared" si="75"/>
        <v>Twitter for iPhone</v>
      </c>
      <c r="L196" s="13">
        <v>3600</v>
      </c>
      <c r="M196" s="13">
        <v>790</v>
      </c>
      <c r="N196" s="13">
        <v>102</v>
      </c>
      <c r="O196" s="15"/>
      <c r="P196" s="6">
        <v>40814.799351851849</v>
      </c>
      <c r="Q196" s="16" t="s">
        <v>795</v>
      </c>
      <c r="R196" s="17" t="s">
        <v>796</v>
      </c>
      <c r="S196" s="11" t="s">
        <v>797</v>
      </c>
      <c r="T196" s="12"/>
      <c r="U196" s="10" t="str">
        <f>HYPERLINK("https://pbs.twimg.com/profile_images/988732473734565888/27MAMcVF.jpg","View")</f>
        <v>View</v>
      </c>
    </row>
    <row r="197" spans="1:21" ht="40.799999999999997">
      <c r="A197" s="6">
        <v>43425.960347222222</v>
      </c>
      <c r="B197" s="7" t="str">
        <f>HYPERLINK("https://twitter.com/quinfernandezz","@quinfernandezz")</f>
        <v>@quinfernandezz</v>
      </c>
      <c r="C197" s="8" t="s">
        <v>800</v>
      </c>
      <c r="D197" s="9" t="s">
        <v>801</v>
      </c>
      <c r="E197" s="10" t="str">
        <f>HYPERLINK("https://twitter.com/quinfernandezz/status/1065364957917822978","1065364957917822978")</f>
        <v>1065364957917822978</v>
      </c>
      <c r="F197" s="12"/>
      <c r="G197" s="11" t="s">
        <v>802</v>
      </c>
      <c r="H197" s="12"/>
      <c r="I197" s="13">
        <v>0</v>
      </c>
      <c r="J197" s="13">
        <v>0</v>
      </c>
      <c r="K197" s="14" t="str">
        <f>HYPERLINK("http://twitter.com/download/android","Twitter for Android")</f>
        <v>Twitter for Android</v>
      </c>
      <c r="L197" s="13">
        <v>1271</v>
      </c>
      <c r="M197" s="13">
        <v>1000</v>
      </c>
      <c r="N197" s="13">
        <v>50</v>
      </c>
      <c r="O197" s="15"/>
      <c r="P197" s="6">
        <v>40717.647824074076</v>
      </c>
      <c r="Q197" s="16" t="s">
        <v>803</v>
      </c>
      <c r="R197" s="17" t="s">
        <v>804</v>
      </c>
      <c r="S197" s="12"/>
      <c r="T197" s="12"/>
      <c r="U197" s="10" t="str">
        <f>HYPERLINK("https://pbs.twimg.com/profile_images/972223918160400385/Dxs5Jtwh.jpg","View")</f>
        <v>View</v>
      </c>
    </row>
    <row r="198" spans="1:21" ht="51">
      <c r="A198" s="6">
        <v>43425.959722222222</v>
      </c>
      <c r="B198" s="7" t="str">
        <f t="shared" ref="B198:B199" si="76">HYPERLINK("https://twitter.com/bitMomentum","@bitMomentum")</f>
        <v>@bitMomentum</v>
      </c>
      <c r="C198" s="8" t="s">
        <v>368</v>
      </c>
      <c r="D198" s="9" t="s">
        <v>805</v>
      </c>
      <c r="E198" s="10" t="str">
        <f>HYPERLINK("https://twitter.com/bitMomentum/status/1065364731463196673","1065364731463196673")</f>
        <v>1065364731463196673</v>
      </c>
      <c r="F198" s="12"/>
      <c r="G198" s="12"/>
      <c r="H198" s="12"/>
      <c r="I198" s="13">
        <v>0</v>
      </c>
      <c r="J198" s="13">
        <v>1</v>
      </c>
      <c r="K198" s="14" t="str">
        <f t="shared" ref="K198:K199" si="77">HYPERLINK("http://www.bitmomentum.com","bitMomentum Bot")</f>
        <v>bitMomentum Bot</v>
      </c>
      <c r="L198" s="13">
        <v>10132</v>
      </c>
      <c r="M198" s="13">
        <v>1060</v>
      </c>
      <c r="N198" s="13">
        <v>267</v>
      </c>
      <c r="O198" s="15"/>
      <c r="P198" s="6">
        <v>41608.667511574073</v>
      </c>
      <c r="Q198" s="12"/>
      <c r="R198" s="17" t="s">
        <v>371</v>
      </c>
      <c r="S198" s="11" t="s">
        <v>372</v>
      </c>
      <c r="T198" s="12"/>
      <c r="U198" s="10" t="str">
        <f t="shared" ref="U198:U199" si="78">HYPERLINK("https://pbs.twimg.com/profile_images/378800000862185241/20ij2H3u.png","View")</f>
        <v>View</v>
      </c>
    </row>
    <row r="199" spans="1:21" ht="51">
      <c r="A199" s="6">
        <v>43425.959027777775</v>
      </c>
      <c r="B199" s="7" t="str">
        <f t="shared" si="76"/>
        <v>@bitMomentum</v>
      </c>
      <c r="C199" s="8" t="s">
        <v>368</v>
      </c>
      <c r="D199" s="9" t="s">
        <v>808</v>
      </c>
      <c r="E199" s="10" t="str">
        <f>HYPERLINK("https://twitter.com/bitMomentum/status/1065364479871991810","1065364479871991810")</f>
        <v>1065364479871991810</v>
      </c>
      <c r="F199" s="12"/>
      <c r="G199" s="12"/>
      <c r="H199" s="12"/>
      <c r="I199" s="13">
        <v>1</v>
      </c>
      <c r="J199" s="13">
        <v>1</v>
      </c>
      <c r="K199" s="14" t="str">
        <f t="shared" si="77"/>
        <v>bitMomentum Bot</v>
      </c>
      <c r="L199" s="13">
        <v>10132</v>
      </c>
      <c r="M199" s="13">
        <v>1060</v>
      </c>
      <c r="N199" s="13">
        <v>267</v>
      </c>
      <c r="O199" s="15"/>
      <c r="P199" s="6">
        <v>41608.667511574073</v>
      </c>
      <c r="Q199" s="12"/>
      <c r="R199" s="17" t="s">
        <v>371</v>
      </c>
      <c r="S199" s="11" t="s">
        <v>372</v>
      </c>
      <c r="T199" s="12"/>
      <c r="U199" s="10" t="str">
        <f t="shared" si="78"/>
        <v>View</v>
      </c>
    </row>
    <row r="200" spans="1:21" ht="51">
      <c r="A200" s="6">
        <v>43425.957824074074</v>
      </c>
      <c r="B200" s="7" t="str">
        <f>HYPERLINK("https://twitter.com/Ibai_93","@Ibai_93")</f>
        <v>@Ibai_93</v>
      </c>
      <c r="C200" s="8" t="s">
        <v>812</v>
      </c>
      <c r="D200" s="9" t="s">
        <v>813</v>
      </c>
      <c r="E200" s="10" t="str">
        <f>HYPERLINK("https://twitter.com/Ibai_93/status/1065364043786055681","1065364043786055681")</f>
        <v>1065364043786055681</v>
      </c>
      <c r="F200" s="12"/>
      <c r="G200" s="11" t="s">
        <v>814</v>
      </c>
      <c r="H200" s="12"/>
      <c r="I200" s="13">
        <v>14</v>
      </c>
      <c r="J200" s="13">
        <v>14</v>
      </c>
      <c r="K200" s="14" t="str">
        <f t="shared" ref="K200:K201" si="79">HYPERLINK("http://twitter.com/download/android","Twitter for Android")</f>
        <v>Twitter for Android</v>
      </c>
      <c r="L200" s="13">
        <v>9278</v>
      </c>
      <c r="M200" s="13">
        <v>4267</v>
      </c>
      <c r="N200" s="13">
        <v>65</v>
      </c>
      <c r="O200" s="15"/>
      <c r="P200" s="6">
        <v>40841.614942129629</v>
      </c>
      <c r="Q200" s="12"/>
      <c r="R200" s="17" t="s">
        <v>815</v>
      </c>
      <c r="S200" s="11" t="s">
        <v>816</v>
      </c>
      <c r="T200" s="12"/>
      <c r="U200" s="10" t="str">
        <f>HYPERLINK("https://pbs.twimg.com/profile_images/966712705636761600/b2LTmQ9Q.jpg","View")</f>
        <v>View</v>
      </c>
    </row>
    <row r="201" spans="1:21" ht="30.6">
      <c r="A201" s="6">
        <v>43425.952800925923</v>
      </c>
      <c r="B201" s="7" t="str">
        <f>HYPERLINK("https://twitter.com/Xabibenputa","@Xabibenputa")</f>
        <v>@Xabibenputa</v>
      </c>
      <c r="C201" s="8" t="s">
        <v>956</v>
      </c>
      <c r="D201" s="9" t="s">
        <v>957</v>
      </c>
      <c r="E201" s="10" t="str">
        <f>HYPERLINK("https://twitter.com/Xabibenputa/status/1065362223801995265","1065362223801995265")</f>
        <v>1065362223801995265</v>
      </c>
      <c r="F201" s="12"/>
      <c r="G201" s="11" t="s">
        <v>784</v>
      </c>
      <c r="H201" s="12"/>
      <c r="I201" s="13">
        <v>66</v>
      </c>
      <c r="J201" s="13">
        <v>230</v>
      </c>
      <c r="K201" s="14" t="str">
        <f t="shared" si="79"/>
        <v>Twitter for Android</v>
      </c>
      <c r="L201" s="13">
        <v>22166</v>
      </c>
      <c r="M201" s="13">
        <v>419</v>
      </c>
      <c r="N201" s="13">
        <v>445</v>
      </c>
      <c r="O201" s="15"/>
      <c r="P201" s="6">
        <v>39957.819120370368</v>
      </c>
      <c r="Q201" s="12"/>
      <c r="R201" s="17" t="s">
        <v>961</v>
      </c>
      <c r="S201" s="12"/>
      <c r="T201" s="12"/>
      <c r="U201" s="10" t="str">
        <f>HYPERLINK("https://pbs.twimg.com/profile_images/741337656928374784/VUK-bmWd.jpg","View")</f>
        <v>View</v>
      </c>
    </row>
    <row r="202" spans="1:21" ht="71.400000000000006">
      <c r="A202" s="6">
        <v>43425.952326388884</v>
      </c>
      <c r="B202" s="7" t="str">
        <f>HYPERLINK("https://twitter.com/jmmanchenoluna","@jmmanchenoluna")</f>
        <v>@jmmanchenoluna</v>
      </c>
      <c r="C202" s="8" t="s">
        <v>817</v>
      </c>
      <c r="D202" s="9" t="s">
        <v>818</v>
      </c>
      <c r="E202" s="10" t="str">
        <f>HYPERLINK("https://twitter.com/jmmanchenoluna/status/1065362051189694466","1065362051189694466")</f>
        <v>1065362051189694466</v>
      </c>
      <c r="F202" s="11" t="s">
        <v>819</v>
      </c>
      <c r="G202" s="11" t="s">
        <v>820</v>
      </c>
      <c r="H202" s="12"/>
      <c r="I202" s="13">
        <v>1</v>
      </c>
      <c r="J202" s="13">
        <v>6</v>
      </c>
      <c r="K202" s="14" t="str">
        <f>HYPERLINK("http://twitter.com/download/iphone","Twitter for iPhone")</f>
        <v>Twitter for iPhone</v>
      </c>
      <c r="L202" s="13">
        <v>1419</v>
      </c>
      <c r="M202" s="13">
        <v>606</v>
      </c>
      <c r="N202" s="13">
        <v>14</v>
      </c>
      <c r="O202" s="15"/>
      <c r="P202" s="6">
        <v>41449.992256944446</v>
      </c>
      <c r="Q202" s="16" t="s">
        <v>821</v>
      </c>
      <c r="R202" s="17" t="s">
        <v>822</v>
      </c>
      <c r="S202" s="11" t="s">
        <v>585</v>
      </c>
      <c r="T202" s="12"/>
      <c r="U202" s="10" t="str">
        <f>HYPERLINK("https://pbs.twimg.com/profile_images/879632219417059328/fPo7CisP.jpg","View")</f>
        <v>View</v>
      </c>
    </row>
    <row r="203" spans="1:21" ht="40.799999999999997">
      <c r="A203" s="6">
        <v>43425.950879629629</v>
      </c>
      <c r="B203" s="7" t="str">
        <f>HYPERLINK("https://twitter.com/Santi_ABASCAL","@Santi_ABASCAL")</f>
        <v>@Santi_ABASCAL</v>
      </c>
      <c r="C203" s="8" t="s">
        <v>182</v>
      </c>
      <c r="D203" s="9" t="s">
        <v>967</v>
      </c>
      <c r="E203" s="10" t="str">
        <f>HYPERLINK("https://twitter.com/Santi_ABASCAL/status/1065361528751353857","1065361528751353857")</f>
        <v>1065361528751353857</v>
      </c>
      <c r="F203" s="12"/>
      <c r="G203" s="11" t="s">
        <v>820</v>
      </c>
      <c r="H203" s="12"/>
      <c r="I203" s="13">
        <v>158</v>
      </c>
      <c r="J203" s="13">
        <v>334</v>
      </c>
      <c r="K203" s="14" t="str">
        <f t="shared" ref="K203:K205" si="80">HYPERLINK("http://twitter.com/download/android","Twitter for Android")</f>
        <v>Twitter for Android</v>
      </c>
      <c r="L203" s="13">
        <v>117602</v>
      </c>
      <c r="M203" s="13">
        <v>3896</v>
      </c>
      <c r="N203" s="13">
        <v>915</v>
      </c>
      <c r="O203" s="23" t="s">
        <v>186</v>
      </c>
      <c r="P203" s="6">
        <v>40606.716446759259</v>
      </c>
      <c r="Q203" s="16" t="s">
        <v>188</v>
      </c>
      <c r="R203" s="17" t="s">
        <v>189</v>
      </c>
      <c r="S203" s="11" t="s">
        <v>190</v>
      </c>
      <c r="T203" s="12"/>
      <c r="U203" s="10" t="str">
        <f>HYPERLINK("https://pbs.twimg.com/profile_images/1010488787686879232/2CnqYKlD.jpg","View")</f>
        <v>View</v>
      </c>
    </row>
    <row r="204" spans="1:21" ht="13.2">
      <c r="A204" s="6">
        <v>43425.948912037042</v>
      </c>
      <c r="B204" s="7" t="str">
        <f>HYPERLINK("https://twitter.com/ElReyCrimson","@ElReyCrimson")</f>
        <v>@ElReyCrimson</v>
      </c>
      <c r="C204" s="8" t="s">
        <v>971</v>
      </c>
      <c r="D204" s="9" t="s">
        <v>972</v>
      </c>
      <c r="E204" s="10" t="str">
        <f>HYPERLINK("https://twitter.com/ElReyCrimson/status/1065360816353026050","1065360816353026050")</f>
        <v>1065360816353026050</v>
      </c>
      <c r="F204" s="12"/>
      <c r="G204" s="12"/>
      <c r="H204" s="12"/>
      <c r="I204" s="13">
        <v>0</v>
      </c>
      <c r="J204" s="13">
        <v>0</v>
      </c>
      <c r="K204" s="14" t="str">
        <f t="shared" si="80"/>
        <v>Twitter for Android</v>
      </c>
      <c r="L204" s="13">
        <v>4</v>
      </c>
      <c r="M204" s="13">
        <v>174</v>
      </c>
      <c r="N204" s="13">
        <v>0</v>
      </c>
      <c r="O204" s="15"/>
      <c r="P204" s="6">
        <v>43160.751400462963</v>
      </c>
      <c r="Q204" s="12"/>
      <c r="R204" s="17" t="s">
        <v>976</v>
      </c>
      <c r="S204" s="12"/>
      <c r="T204" s="12"/>
      <c r="U204" s="10" t="str">
        <f>HYPERLINK("https://pbs.twimg.com/profile_images/972623609888952320/mL3CATiB.jpg","View")</f>
        <v>View</v>
      </c>
    </row>
    <row r="205" spans="1:21" ht="13.2">
      <c r="A205" s="6">
        <v>43425.947523148148</v>
      </c>
      <c r="B205" s="7" t="str">
        <f>HYPERLINK("https://twitter.com/TNylaya","@TNylaya")</f>
        <v>@TNylaya</v>
      </c>
      <c r="C205" s="8" t="s">
        <v>21</v>
      </c>
      <c r="D205" s="9" t="s">
        <v>980</v>
      </c>
      <c r="E205" s="10" t="str">
        <f>HYPERLINK("https://twitter.com/TNylaya/status/1065360312243822597","1065360312243822597")</f>
        <v>1065360312243822597</v>
      </c>
      <c r="F205" s="11" t="s">
        <v>40</v>
      </c>
      <c r="G205" s="12"/>
      <c r="H205" s="12"/>
      <c r="I205" s="13">
        <v>0</v>
      </c>
      <c r="J205" s="13">
        <v>0</v>
      </c>
      <c r="K205" s="14" t="str">
        <f t="shared" si="80"/>
        <v>Twitter for Android</v>
      </c>
      <c r="L205" s="13">
        <v>82</v>
      </c>
      <c r="M205" s="13">
        <v>268</v>
      </c>
      <c r="N205" s="13">
        <v>0</v>
      </c>
      <c r="O205" s="15"/>
      <c r="P205" s="6">
        <v>43373.076354166667</v>
      </c>
      <c r="Q205" s="12"/>
      <c r="R205" s="17" t="s">
        <v>26</v>
      </c>
      <c r="S205" s="12"/>
      <c r="T205" s="12"/>
      <c r="U205" s="10" t="str">
        <f>HYPERLINK("https://pbs.twimg.com/profile_images/1046188819358322689/x_yItWiC.jpg","View")</f>
        <v>View</v>
      </c>
    </row>
    <row r="206" spans="1:21" ht="71.400000000000006">
      <c r="A206" s="6">
        <v>43425.945532407408</v>
      </c>
      <c r="B206" s="7" t="str">
        <f>HYPERLINK("https://twitter.com/dvd3006","@dvd3006")</f>
        <v>@dvd3006</v>
      </c>
      <c r="C206" s="8" t="s">
        <v>823</v>
      </c>
      <c r="D206" s="9" t="s">
        <v>824</v>
      </c>
      <c r="E206" s="10" t="str">
        <f>HYPERLINK("https://twitter.com/dvd3006/status/1065359592702574592","1065359592702574592")</f>
        <v>1065359592702574592</v>
      </c>
      <c r="F206" s="12"/>
      <c r="G206" s="11" t="s">
        <v>825</v>
      </c>
      <c r="H206" s="12"/>
      <c r="I206" s="13">
        <v>6</v>
      </c>
      <c r="J206" s="13">
        <v>16</v>
      </c>
      <c r="K206" s="14" t="str">
        <f>HYPERLINK("http://twitter.com/download/iphone","Twitter for iPhone")</f>
        <v>Twitter for iPhone</v>
      </c>
      <c r="L206" s="13">
        <v>1265</v>
      </c>
      <c r="M206" s="13">
        <v>969</v>
      </c>
      <c r="N206" s="13">
        <v>10</v>
      </c>
      <c r="O206" s="15"/>
      <c r="P206" s="6">
        <v>40401.863159722227</v>
      </c>
      <c r="Q206" s="16" t="s">
        <v>826</v>
      </c>
      <c r="R206" s="17" t="s">
        <v>827</v>
      </c>
      <c r="S206" s="12"/>
      <c r="T206" s="12"/>
      <c r="U206" s="10" t="str">
        <f>HYPERLINK("https://pbs.twimg.com/profile_images/1065548742416310273/JnlzJwX2.jpg","View")</f>
        <v>View</v>
      </c>
    </row>
    <row r="207" spans="1:21" ht="40.799999999999997">
      <c r="A207" s="6">
        <v>43425.940717592588</v>
      </c>
      <c r="B207" s="7" t="str">
        <f>HYPERLINK("https://twitter.com/mikel_13J","@mikel_13J")</f>
        <v>@mikel_13J</v>
      </c>
      <c r="C207" s="8" t="s">
        <v>828</v>
      </c>
      <c r="D207" s="9" t="s">
        <v>829</v>
      </c>
      <c r="E207" s="10" t="str">
        <f>HYPERLINK("https://twitter.com/mikel_13J/status/1065357844785086466","1065357844785086466")</f>
        <v>1065357844785086466</v>
      </c>
      <c r="F207" s="11" t="s">
        <v>830</v>
      </c>
      <c r="G207" s="11" t="s">
        <v>831</v>
      </c>
      <c r="H207" s="12"/>
      <c r="I207" s="13">
        <v>0</v>
      </c>
      <c r="J207" s="13">
        <v>0</v>
      </c>
      <c r="K207" s="14" t="str">
        <f>HYPERLINK("http://twitter.com/download/android","Twitter for Android")</f>
        <v>Twitter for Android</v>
      </c>
      <c r="L207" s="13">
        <v>191</v>
      </c>
      <c r="M207" s="13">
        <v>642</v>
      </c>
      <c r="N207" s="13">
        <v>5</v>
      </c>
      <c r="O207" s="15"/>
      <c r="P207" s="6">
        <v>40159.724641203706</v>
      </c>
      <c r="Q207" s="16" t="s">
        <v>411</v>
      </c>
      <c r="R207" s="17" t="s">
        <v>832</v>
      </c>
      <c r="S207" s="12"/>
      <c r="T207" s="12"/>
      <c r="U207" s="10" t="str">
        <f>HYPERLINK("https://pbs.twimg.com/profile_images/975412472164253696/Nxrk2Z4g.jpg","View")</f>
        <v>View</v>
      </c>
    </row>
    <row r="208" spans="1:21" ht="20.399999999999999">
      <c r="A208" s="6">
        <v>43425.939305555556</v>
      </c>
      <c r="B208" s="7" t="str">
        <f t="shared" ref="B208:B209" si="81">HYPERLINK("https://twitter.com/Erufailon94","@Erufailon94")</f>
        <v>@Erufailon94</v>
      </c>
      <c r="C208" s="8" t="s">
        <v>833</v>
      </c>
      <c r="D208" s="9" t="s">
        <v>834</v>
      </c>
      <c r="E208" s="10" t="str">
        <f>HYPERLINK("https://twitter.com/Erufailon94/status/1065357333566554119","1065357333566554119")</f>
        <v>1065357333566554119</v>
      </c>
      <c r="F208" s="12"/>
      <c r="G208" s="11" t="s">
        <v>835</v>
      </c>
      <c r="H208" s="12"/>
      <c r="I208" s="13">
        <v>5</v>
      </c>
      <c r="J208" s="13">
        <v>5</v>
      </c>
      <c r="K208" s="14" t="str">
        <f t="shared" ref="K208:K211" si="82">HYPERLINK("http://twitter.com/download/iphone","Twitter for iPhone")</f>
        <v>Twitter for iPhone</v>
      </c>
      <c r="L208" s="13">
        <v>371</v>
      </c>
      <c r="M208" s="13">
        <v>188</v>
      </c>
      <c r="N208" s="13">
        <v>12</v>
      </c>
      <c r="O208" s="15"/>
      <c r="P208" s="6">
        <v>42350.12767361111</v>
      </c>
      <c r="Q208" s="16" t="s">
        <v>836</v>
      </c>
      <c r="R208" s="17" t="s">
        <v>837</v>
      </c>
      <c r="S208" s="12"/>
      <c r="T208" s="12"/>
      <c r="U208" s="10" t="str">
        <f t="shared" ref="U208:U209" si="83">HYPERLINK("https://pbs.twimg.com/profile_images/1056886796573962240/bxcrzJZ4.jpg","View")</f>
        <v>View</v>
      </c>
    </row>
    <row r="209" spans="1:21" ht="20.399999999999999">
      <c r="A209" s="6">
        <v>43425.938993055555</v>
      </c>
      <c r="B209" s="7" t="str">
        <f t="shared" si="81"/>
        <v>@Erufailon94</v>
      </c>
      <c r="C209" s="8" t="s">
        <v>833</v>
      </c>
      <c r="D209" s="9" t="s">
        <v>834</v>
      </c>
      <c r="E209" s="10" t="str">
        <f>HYPERLINK("https://twitter.com/Erufailon94/status/1065357222023172098","1065357222023172098")</f>
        <v>1065357222023172098</v>
      </c>
      <c r="F209" s="12"/>
      <c r="G209" s="11" t="s">
        <v>838</v>
      </c>
      <c r="H209" s="12"/>
      <c r="I209" s="13">
        <v>2</v>
      </c>
      <c r="J209" s="13">
        <v>2</v>
      </c>
      <c r="K209" s="14" t="str">
        <f t="shared" si="82"/>
        <v>Twitter for iPhone</v>
      </c>
      <c r="L209" s="13">
        <v>371</v>
      </c>
      <c r="M209" s="13">
        <v>188</v>
      </c>
      <c r="N209" s="13">
        <v>12</v>
      </c>
      <c r="O209" s="15"/>
      <c r="P209" s="6">
        <v>42350.12767361111</v>
      </c>
      <c r="Q209" s="16" t="s">
        <v>836</v>
      </c>
      <c r="R209" s="17" t="s">
        <v>837</v>
      </c>
      <c r="S209" s="12"/>
      <c r="T209" s="12"/>
      <c r="U209" s="10" t="str">
        <f t="shared" si="83"/>
        <v>View</v>
      </c>
    </row>
    <row r="210" spans="1:21" ht="61.2">
      <c r="A210" s="6">
        <v>43425.933645833335</v>
      </c>
      <c r="B210" s="7" t="str">
        <f>HYPERLINK("https://twitter.com/BlazquezAG","@BlazquezAG")</f>
        <v>@BlazquezAG</v>
      </c>
      <c r="C210" s="8" t="s">
        <v>839</v>
      </c>
      <c r="D210" s="9" t="s">
        <v>840</v>
      </c>
      <c r="E210" s="10" t="str">
        <f>HYPERLINK("https://twitter.com/BlazquezAG/status/1065355283608858625","1065355283608858625")</f>
        <v>1065355283608858625</v>
      </c>
      <c r="F210" s="11" t="s">
        <v>841</v>
      </c>
      <c r="G210" s="11" t="s">
        <v>842</v>
      </c>
      <c r="H210" s="12"/>
      <c r="I210" s="13">
        <v>0</v>
      </c>
      <c r="J210" s="13">
        <v>3</v>
      </c>
      <c r="K210" s="14" t="str">
        <f t="shared" si="82"/>
        <v>Twitter for iPhone</v>
      </c>
      <c r="L210" s="13">
        <v>715</v>
      </c>
      <c r="M210" s="13">
        <v>1421</v>
      </c>
      <c r="N210" s="13">
        <v>2</v>
      </c>
      <c r="O210" s="15"/>
      <c r="P210" s="6">
        <v>42805.542476851857</v>
      </c>
      <c r="Q210" s="16" t="s">
        <v>843</v>
      </c>
      <c r="R210" s="17" t="s">
        <v>844</v>
      </c>
      <c r="S210" s="12"/>
      <c r="T210" s="12"/>
      <c r="U210" s="10" t="str">
        <f>HYPERLINK("https://pbs.twimg.com/profile_images/935852248428695552/G-lKhzGE.jpg","View")</f>
        <v>View</v>
      </c>
    </row>
    <row r="211" spans="1:21" ht="51">
      <c r="A211" s="6">
        <v>43425.930208333331</v>
      </c>
      <c r="B211" s="7" t="str">
        <f>HYPERLINK("https://twitter.com/SergioCor01","@SergioCor01")</f>
        <v>@SergioCor01</v>
      </c>
      <c r="C211" s="8" t="s">
        <v>845</v>
      </c>
      <c r="D211" s="9" t="s">
        <v>846</v>
      </c>
      <c r="E211" s="10" t="str">
        <f>HYPERLINK("https://twitter.com/SergioCor01/status/1065354035941781506","1065354035941781506")</f>
        <v>1065354035941781506</v>
      </c>
      <c r="F211" s="12"/>
      <c r="G211" s="12"/>
      <c r="H211" s="12"/>
      <c r="I211" s="13">
        <v>0</v>
      </c>
      <c r="J211" s="13">
        <v>0</v>
      </c>
      <c r="K211" s="14" t="str">
        <f t="shared" si="82"/>
        <v>Twitter for iPhone</v>
      </c>
      <c r="L211" s="13">
        <v>294</v>
      </c>
      <c r="M211" s="13">
        <v>251</v>
      </c>
      <c r="N211" s="13">
        <v>12</v>
      </c>
      <c r="O211" s="15"/>
      <c r="P211" s="6">
        <v>40855.918194444443</v>
      </c>
      <c r="Q211" s="16" t="s">
        <v>847</v>
      </c>
      <c r="R211" s="17" t="s">
        <v>848</v>
      </c>
      <c r="S211" s="12"/>
      <c r="T211" s="12"/>
      <c r="U211" s="10" t="str">
        <f>HYPERLINK("https://pbs.twimg.com/profile_images/1011567418211274752/IsqGmVMP.jpg","View")</f>
        <v>View</v>
      </c>
    </row>
    <row r="212" spans="1:21" ht="51">
      <c r="A212" s="6">
        <v>43425.930162037039</v>
      </c>
      <c r="B212" s="7" t="str">
        <f>HYPERLINK("https://twitter.com/castillejofr99","@castillejofr99")</f>
        <v>@castillejofr99</v>
      </c>
      <c r="C212" s="8" t="s">
        <v>849</v>
      </c>
      <c r="D212" s="9" t="s">
        <v>850</v>
      </c>
      <c r="E212" s="10" t="str">
        <f>HYPERLINK("https://twitter.com/castillejofr99/status/1065354018854195206","1065354018854195206")</f>
        <v>1065354018854195206</v>
      </c>
      <c r="F212" s="12"/>
      <c r="G212" s="12"/>
      <c r="H212" s="12"/>
      <c r="I212" s="13">
        <v>0</v>
      </c>
      <c r="J212" s="13">
        <v>2</v>
      </c>
      <c r="K212" s="14" t="str">
        <f>HYPERLINK("http://twitter.com/download/android","Twitter for Android")</f>
        <v>Twitter for Android</v>
      </c>
      <c r="L212" s="13">
        <v>332</v>
      </c>
      <c r="M212" s="13">
        <v>653</v>
      </c>
      <c r="N212" s="13">
        <v>1</v>
      </c>
      <c r="O212" s="15"/>
      <c r="P212" s="6">
        <v>42168.815358796295</v>
      </c>
      <c r="Q212" s="12"/>
      <c r="R212" s="17" t="s">
        <v>851</v>
      </c>
      <c r="S212" s="11" t="s">
        <v>852</v>
      </c>
      <c r="T212" s="12"/>
      <c r="U212" s="10" t="str">
        <f>HYPERLINK("https://pbs.twimg.com/profile_images/860405767010217984/pUyrD84i.jpg","View")</f>
        <v>View</v>
      </c>
    </row>
    <row r="213" spans="1:21" ht="61.2">
      <c r="A213" s="6">
        <v>43425.922118055554</v>
      </c>
      <c r="B213" s="7" t="str">
        <f>HYPERLINK("https://twitter.com/JuanjoAizcorbe","@JuanjoAizcorbe")</f>
        <v>@JuanjoAizcorbe</v>
      </c>
      <c r="C213" s="8" t="s">
        <v>853</v>
      </c>
      <c r="D213" s="9" t="s">
        <v>854</v>
      </c>
      <c r="E213" s="10" t="str">
        <f>HYPERLINK("https://twitter.com/JuanjoAizcorbe/status/1065351104479793152","1065351104479793152")</f>
        <v>1065351104479793152</v>
      </c>
      <c r="F213" s="11" t="s">
        <v>855</v>
      </c>
      <c r="G213" s="12"/>
      <c r="H213" s="12"/>
      <c r="I213" s="13">
        <v>4</v>
      </c>
      <c r="J213" s="13">
        <v>11</v>
      </c>
      <c r="K213" s="14" t="str">
        <f>HYPERLINK("http://twitter.com/download/iphone","Twitter for iPhone")</f>
        <v>Twitter for iPhone</v>
      </c>
      <c r="L213" s="13">
        <v>335</v>
      </c>
      <c r="M213" s="13">
        <v>170</v>
      </c>
      <c r="N213" s="13">
        <v>6</v>
      </c>
      <c r="O213" s="15"/>
      <c r="P213" s="6">
        <v>41927.764456018514</v>
      </c>
      <c r="Q213" s="16" t="s">
        <v>66</v>
      </c>
      <c r="R213" s="17" t="s">
        <v>856</v>
      </c>
      <c r="S213" s="11" t="s">
        <v>857</v>
      </c>
      <c r="T213" s="12"/>
      <c r="U213" s="10" t="str">
        <f>HYPERLINK("https://pbs.twimg.com/profile_images/1027853784096096256/3PILgGu7.jpg","View")</f>
        <v>View</v>
      </c>
    </row>
    <row r="214" spans="1:21" ht="51">
      <c r="A214" s="6">
        <v>43425.91805555555</v>
      </c>
      <c r="B214" s="7" t="str">
        <f t="shared" ref="B214:B215" si="84">HYPERLINK("https://twitter.com/bitMomentum","@bitMomentum")</f>
        <v>@bitMomentum</v>
      </c>
      <c r="C214" s="8" t="s">
        <v>368</v>
      </c>
      <c r="D214" s="9" t="s">
        <v>858</v>
      </c>
      <c r="E214" s="10" t="str">
        <f>HYPERLINK("https://twitter.com/bitMomentum/status/1065349631968772097","1065349631968772097")</f>
        <v>1065349631968772097</v>
      </c>
      <c r="F214" s="12"/>
      <c r="G214" s="12"/>
      <c r="H214" s="12"/>
      <c r="I214" s="13">
        <v>0</v>
      </c>
      <c r="J214" s="13">
        <v>1</v>
      </c>
      <c r="K214" s="14" t="str">
        <f t="shared" ref="K214:K215" si="85">HYPERLINK("http://www.bitmomentum.com","bitMomentum Bot")</f>
        <v>bitMomentum Bot</v>
      </c>
      <c r="L214" s="13">
        <v>10132</v>
      </c>
      <c r="M214" s="13">
        <v>1060</v>
      </c>
      <c r="N214" s="13">
        <v>267</v>
      </c>
      <c r="O214" s="15"/>
      <c r="P214" s="6">
        <v>41608.667511574073</v>
      </c>
      <c r="Q214" s="12"/>
      <c r="R214" s="17" t="s">
        <v>371</v>
      </c>
      <c r="S214" s="11" t="s">
        <v>372</v>
      </c>
      <c r="T214" s="12"/>
      <c r="U214" s="10" t="str">
        <f t="shared" ref="U214:U215" si="86">HYPERLINK("https://pbs.twimg.com/profile_images/378800000862185241/20ij2H3u.png","View")</f>
        <v>View</v>
      </c>
    </row>
    <row r="215" spans="1:21" ht="51">
      <c r="A215" s="6">
        <v>43425.917361111111</v>
      </c>
      <c r="B215" s="7" t="str">
        <f t="shared" si="84"/>
        <v>@bitMomentum</v>
      </c>
      <c r="C215" s="8" t="s">
        <v>368</v>
      </c>
      <c r="D215" s="9" t="s">
        <v>860</v>
      </c>
      <c r="E215" s="10" t="str">
        <f>HYPERLINK("https://twitter.com/bitMomentum/status/1065349380348231680","1065349380348231680")</f>
        <v>1065349380348231680</v>
      </c>
      <c r="F215" s="12"/>
      <c r="G215" s="12"/>
      <c r="H215" s="12"/>
      <c r="I215" s="13">
        <v>0</v>
      </c>
      <c r="J215" s="13">
        <v>1</v>
      </c>
      <c r="K215" s="14" t="str">
        <f t="shared" si="85"/>
        <v>bitMomentum Bot</v>
      </c>
      <c r="L215" s="13">
        <v>10132</v>
      </c>
      <c r="M215" s="13">
        <v>1060</v>
      </c>
      <c r="N215" s="13">
        <v>267</v>
      </c>
      <c r="O215" s="15"/>
      <c r="P215" s="6">
        <v>41608.667511574073</v>
      </c>
      <c r="Q215" s="12"/>
      <c r="R215" s="17" t="s">
        <v>371</v>
      </c>
      <c r="S215" s="11" t="s">
        <v>372</v>
      </c>
      <c r="T215" s="12"/>
      <c r="U215" s="10" t="str">
        <f t="shared" si="86"/>
        <v>View</v>
      </c>
    </row>
    <row r="216" spans="1:21" ht="40.799999999999997">
      <c r="A216" s="6">
        <v>43425.910196759258</v>
      </c>
      <c r="B216" s="7" t="str">
        <f>HYPERLINK("https://twitter.com/YoOpyno","@YoOpyno")</f>
        <v>@YoOpyno</v>
      </c>
      <c r="C216" s="25" t="s">
        <v>862</v>
      </c>
      <c r="D216" s="9" t="s">
        <v>863</v>
      </c>
      <c r="E216" s="10" t="str">
        <f>HYPERLINK("https://twitter.com/YoOpyno/status/1065346787073028096","1065346787073028096")</f>
        <v>1065346787073028096</v>
      </c>
      <c r="F216" s="12"/>
      <c r="G216" s="12"/>
      <c r="H216" s="12"/>
      <c r="I216" s="13">
        <v>1</v>
      </c>
      <c r="J216" s="13">
        <v>0</v>
      </c>
      <c r="K216" s="14" t="str">
        <f t="shared" ref="K216:K218" si="87">HYPERLINK("http://twitter.com/download/android","Twitter for Android")</f>
        <v>Twitter for Android</v>
      </c>
      <c r="L216" s="13">
        <v>163</v>
      </c>
      <c r="M216" s="13">
        <v>1798</v>
      </c>
      <c r="N216" s="13">
        <v>0</v>
      </c>
      <c r="O216" s="15"/>
      <c r="P216" s="6">
        <v>43415.894155092596</v>
      </c>
      <c r="Q216" s="16" t="s">
        <v>66</v>
      </c>
      <c r="R216" s="17" t="s">
        <v>864</v>
      </c>
      <c r="S216" s="11" t="s">
        <v>865</v>
      </c>
      <c r="T216" s="12"/>
      <c r="U216" s="10" t="str">
        <f>HYPERLINK("https://pbs.twimg.com/profile_images/1061717701687758849/yCE3VmXx.jpg","View")</f>
        <v>View</v>
      </c>
    </row>
    <row r="217" spans="1:21" ht="40.799999999999997">
      <c r="A217" s="6">
        <v>43425.903993055559</v>
      </c>
      <c r="B217" s="7" t="str">
        <f>HYPERLINK("https://twitter.com/piparrahispania","@piparrahispania")</f>
        <v>@piparrahispania</v>
      </c>
      <c r="C217" s="8" t="s">
        <v>866</v>
      </c>
      <c r="D217" s="9" t="s">
        <v>867</v>
      </c>
      <c r="E217" s="10" t="str">
        <f>HYPERLINK("https://twitter.com/piparrahispania/status/1065344535964860416","1065344535964860416")</f>
        <v>1065344535964860416</v>
      </c>
      <c r="F217" s="12"/>
      <c r="G217" s="12"/>
      <c r="H217" s="12"/>
      <c r="I217" s="13">
        <v>0</v>
      </c>
      <c r="J217" s="13">
        <v>0</v>
      </c>
      <c r="K217" s="14" t="str">
        <f t="shared" si="87"/>
        <v>Twitter for Android</v>
      </c>
      <c r="L217" s="13">
        <v>788</v>
      </c>
      <c r="M217" s="13">
        <v>2519</v>
      </c>
      <c r="N217" s="13">
        <v>27</v>
      </c>
      <c r="O217" s="15"/>
      <c r="P217" s="6">
        <v>40284.483391203699</v>
      </c>
      <c r="Q217" s="16" t="s">
        <v>868</v>
      </c>
      <c r="R217" s="21"/>
      <c r="S217" s="12"/>
      <c r="T217" s="12"/>
      <c r="U217" s="10" t="str">
        <f>HYPERLINK("https://pbs.twimg.com/profile_images/1001510539384774657/5zorsASG.jpg","View")</f>
        <v>View</v>
      </c>
    </row>
    <row r="218" spans="1:21" ht="81.599999999999994">
      <c r="A218" s="6">
        <v>43425.889976851853</v>
      </c>
      <c r="B218" s="7" t="str">
        <f>HYPERLINK("https://twitter.com/Santi_ABASCAL","@Santi_ABASCAL")</f>
        <v>@Santi_ABASCAL</v>
      </c>
      <c r="C218" s="8" t="s">
        <v>182</v>
      </c>
      <c r="D218" s="9" t="s">
        <v>1044</v>
      </c>
      <c r="E218" s="10" t="str">
        <f>HYPERLINK("https://twitter.com/Santi_ABASCAL/status/1065339458780897280","1065339458780897280")</f>
        <v>1065339458780897280</v>
      </c>
      <c r="F218" s="11" t="s">
        <v>1046</v>
      </c>
      <c r="G218" s="11" t="s">
        <v>1047</v>
      </c>
      <c r="H218" s="12"/>
      <c r="I218" s="13">
        <v>2206</v>
      </c>
      <c r="J218" s="13">
        <v>4069</v>
      </c>
      <c r="K218" s="14" t="str">
        <f t="shared" si="87"/>
        <v>Twitter for Android</v>
      </c>
      <c r="L218" s="13">
        <v>117602</v>
      </c>
      <c r="M218" s="13">
        <v>3896</v>
      </c>
      <c r="N218" s="13">
        <v>915</v>
      </c>
      <c r="O218" s="23" t="s">
        <v>186</v>
      </c>
      <c r="P218" s="6">
        <v>40606.716446759259</v>
      </c>
      <c r="Q218" s="16" t="s">
        <v>188</v>
      </c>
      <c r="R218" s="17" t="s">
        <v>189</v>
      </c>
      <c r="S218" s="11" t="s">
        <v>190</v>
      </c>
      <c r="T218" s="12"/>
      <c r="U218" s="10" t="str">
        <f>HYPERLINK("https://pbs.twimg.com/profile_images/1010488787686879232/2CnqYKlD.jpg","View")</f>
        <v>View</v>
      </c>
    </row>
    <row r="219" spans="1:21" ht="51">
      <c r="A219" s="6">
        <v>43425.888877314814</v>
      </c>
      <c r="B219" s="7" t="str">
        <f>HYPERLINK("https://twitter.com/vox_granada","@vox_granada")</f>
        <v>@vox_granada</v>
      </c>
      <c r="C219" s="8" t="s">
        <v>869</v>
      </c>
      <c r="D219" s="9" t="s">
        <v>870</v>
      </c>
      <c r="E219" s="10" t="str">
        <f>HYPERLINK("https://twitter.com/vox_granada/status/1065339058119946247","1065339058119946247")</f>
        <v>1065339058119946247</v>
      </c>
      <c r="F219" s="12"/>
      <c r="G219" s="11" t="s">
        <v>753</v>
      </c>
      <c r="H219" s="12"/>
      <c r="I219" s="13">
        <v>180</v>
      </c>
      <c r="J219" s="13">
        <v>328</v>
      </c>
      <c r="K219" s="14" t="str">
        <f>HYPERLINK("https://mobile.twitter.com","Twitter Lite")</f>
        <v>Twitter Lite</v>
      </c>
      <c r="L219" s="13">
        <v>3993</v>
      </c>
      <c r="M219" s="13">
        <v>307</v>
      </c>
      <c r="N219" s="13">
        <v>34</v>
      </c>
      <c r="O219" s="15"/>
      <c r="P219" s="6">
        <v>41683.031111111108</v>
      </c>
      <c r="Q219" s="16" t="s">
        <v>871</v>
      </c>
      <c r="R219" s="17" t="s">
        <v>872</v>
      </c>
      <c r="S219" s="11" t="s">
        <v>874</v>
      </c>
      <c r="T219" s="12"/>
      <c r="U219" s="10" t="str">
        <f>HYPERLINK("https://pbs.twimg.com/profile_images/1058283280234098688/MaNU_Har.jpg","View")</f>
        <v>View</v>
      </c>
    </row>
    <row r="220" spans="1:21" ht="51">
      <c r="A220" s="6">
        <v>43425.888796296298</v>
      </c>
      <c r="B220" s="7" t="str">
        <f>HYPERLINK("https://twitter.com/CapHeaven","@CapHeaven")</f>
        <v>@CapHeaven</v>
      </c>
      <c r="C220" s="8" t="s">
        <v>875</v>
      </c>
      <c r="D220" s="9" t="s">
        <v>876</v>
      </c>
      <c r="E220" s="10" t="str">
        <f>HYPERLINK("https://twitter.com/CapHeaven/status/1065339029552541696","1065339029552541696")</f>
        <v>1065339029552541696</v>
      </c>
      <c r="F220" s="12"/>
      <c r="G220" s="11" t="s">
        <v>877</v>
      </c>
      <c r="H220" s="12"/>
      <c r="I220" s="13">
        <v>0</v>
      </c>
      <c r="J220" s="13">
        <v>1</v>
      </c>
      <c r="K220" s="14" t="str">
        <f>HYPERLINK("http://twitter.com","Twitter Web Client")</f>
        <v>Twitter Web Client</v>
      </c>
      <c r="L220" s="13">
        <v>197</v>
      </c>
      <c r="M220" s="13">
        <v>102</v>
      </c>
      <c r="N220" s="13">
        <v>1</v>
      </c>
      <c r="O220" s="15"/>
      <c r="P220" s="6">
        <v>43372.997650462959</v>
      </c>
      <c r="Q220" s="16" t="s">
        <v>878</v>
      </c>
      <c r="R220" s="17" t="s">
        <v>879</v>
      </c>
      <c r="S220" s="12"/>
      <c r="T220" s="12"/>
      <c r="U220" s="10" t="str">
        <f>HYPERLINK("https://pbs.twimg.com/profile_images/1064233119014969346/S5-T-5_Z.jpg","View")</f>
        <v>View</v>
      </c>
    </row>
    <row r="221" spans="1:21" ht="51">
      <c r="A221" s="6">
        <v>43425.885150462964</v>
      </c>
      <c r="B221" s="7" t="str">
        <f>HYPERLINK("https://twitter.com/NOR666","@NOR666")</f>
        <v>@NOR666</v>
      </c>
      <c r="C221" s="8" t="s">
        <v>880</v>
      </c>
      <c r="D221" s="9" t="s">
        <v>881</v>
      </c>
      <c r="E221" s="10" t="str">
        <f>HYPERLINK("https://twitter.com/NOR666/status/1065337710079021057","1065337710079021057")</f>
        <v>1065337710079021057</v>
      </c>
      <c r="F221" s="12"/>
      <c r="G221" s="12"/>
      <c r="H221" s="12"/>
      <c r="I221" s="13">
        <v>1</v>
      </c>
      <c r="J221" s="13">
        <v>5</v>
      </c>
      <c r="K221" s="14" t="str">
        <f t="shared" ref="K221:K223" si="88">HYPERLINK("http://twitter.com/download/android","Twitter for Android")</f>
        <v>Twitter for Android</v>
      </c>
      <c r="L221" s="13">
        <v>1057</v>
      </c>
      <c r="M221" s="13">
        <v>3144</v>
      </c>
      <c r="N221" s="13">
        <v>8</v>
      </c>
      <c r="O221" s="15"/>
      <c r="P221" s="6">
        <v>40771.483136574076</v>
      </c>
      <c r="Q221" s="16" t="s">
        <v>882</v>
      </c>
      <c r="R221" s="17" t="s">
        <v>883</v>
      </c>
      <c r="S221" s="12"/>
      <c r="T221" s="12"/>
      <c r="U221" s="10" t="str">
        <f>HYPERLINK("https://pbs.twimg.com/profile_images/994161515233202177/Yi-aNWVy.jpg","View")</f>
        <v>View</v>
      </c>
    </row>
    <row r="222" spans="1:21" ht="51">
      <c r="A222" s="6">
        <v>43425.881701388891</v>
      </c>
      <c r="B222" s="7" t="str">
        <f>HYPERLINK("https://twitter.com/Tiruriruriii","@Tiruriruriii")</f>
        <v>@Tiruriruriii</v>
      </c>
      <c r="C222" s="8" t="s">
        <v>884</v>
      </c>
      <c r="D222" s="9" t="s">
        <v>885</v>
      </c>
      <c r="E222" s="10" t="str">
        <f>HYPERLINK("https://twitter.com/Tiruriruriii/status/1065336459752849408","1065336459752849408")</f>
        <v>1065336459752849408</v>
      </c>
      <c r="F222" s="16" t="s">
        <v>886</v>
      </c>
      <c r="G222" s="12"/>
      <c r="H222" s="12"/>
      <c r="I222" s="13">
        <v>0</v>
      </c>
      <c r="J222" s="13">
        <v>0</v>
      </c>
      <c r="K222" s="14" t="str">
        <f t="shared" si="88"/>
        <v>Twitter for Android</v>
      </c>
      <c r="L222" s="13">
        <v>537</v>
      </c>
      <c r="M222" s="13">
        <v>235</v>
      </c>
      <c r="N222" s="13">
        <v>10</v>
      </c>
      <c r="O222" s="15"/>
      <c r="P222" s="6">
        <v>41077.604143518518</v>
      </c>
      <c r="Q222" s="16" t="s">
        <v>888</v>
      </c>
      <c r="R222" s="17" t="s">
        <v>890</v>
      </c>
      <c r="S222" s="12"/>
      <c r="T222" s="12"/>
      <c r="U222" s="10" t="str">
        <f>HYPERLINK("https://pbs.twimg.com/profile_images/1037005740458815488/PkZffbIt.jpg","View")</f>
        <v>View</v>
      </c>
    </row>
    <row r="223" spans="1:21" ht="20.399999999999999">
      <c r="A223" s="6">
        <v>43425.872557870374</v>
      </c>
      <c r="B223" s="7" t="str">
        <f>HYPERLINK("https://twitter.com/Santi_ABASCAL","@Santi_ABASCAL")</f>
        <v>@Santi_ABASCAL</v>
      </c>
      <c r="C223" s="8" t="s">
        <v>182</v>
      </c>
      <c r="D223" s="9" t="s">
        <v>1063</v>
      </c>
      <c r="E223" s="10" t="str">
        <f>HYPERLINK("https://twitter.com/Santi_ABASCAL/status/1065333144205869058","1065333144205869058")</f>
        <v>1065333144205869058</v>
      </c>
      <c r="F223" s="12"/>
      <c r="G223" s="11" t="s">
        <v>831</v>
      </c>
      <c r="H223" s="12"/>
      <c r="I223" s="13">
        <v>432</v>
      </c>
      <c r="J223" s="13">
        <v>747</v>
      </c>
      <c r="K223" s="14" t="str">
        <f t="shared" si="88"/>
        <v>Twitter for Android</v>
      </c>
      <c r="L223" s="13">
        <v>117602</v>
      </c>
      <c r="M223" s="13">
        <v>3896</v>
      </c>
      <c r="N223" s="13">
        <v>915</v>
      </c>
      <c r="O223" s="23" t="s">
        <v>186</v>
      </c>
      <c r="P223" s="6">
        <v>40606.716446759259</v>
      </c>
      <c r="Q223" s="16" t="s">
        <v>188</v>
      </c>
      <c r="R223" s="17" t="s">
        <v>189</v>
      </c>
      <c r="S223" s="11" t="s">
        <v>190</v>
      </c>
      <c r="T223" s="12"/>
      <c r="U223" s="10" t="str">
        <f>HYPERLINK("https://pbs.twimg.com/profile_images/1010488787686879232/2CnqYKlD.jpg","View")</f>
        <v>View</v>
      </c>
    </row>
    <row r="224" spans="1:21" ht="40.799999999999997">
      <c r="A224" s="6">
        <v>43425.872175925921</v>
      </c>
      <c r="B224" s="7" t="str">
        <f t="shared" ref="B224:B225" si="89">HYPERLINK("https://twitter.com/AndresSanto_","@AndresSanto_")</f>
        <v>@AndresSanto_</v>
      </c>
      <c r="C224" s="8" t="s">
        <v>398</v>
      </c>
      <c r="D224" s="9" t="s">
        <v>895</v>
      </c>
      <c r="E224" s="10" t="str">
        <f>HYPERLINK("https://twitter.com/AndresSanto_/status/1065333008725610496","1065333008725610496")</f>
        <v>1065333008725610496</v>
      </c>
      <c r="F224" s="12"/>
      <c r="G224" s="11" t="s">
        <v>896</v>
      </c>
      <c r="H224" s="12"/>
      <c r="I224" s="13">
        <v>1</v>
      </c>
      <c r="J224" s="13">
        <v>1</v>
      </c>
      <c r="K224" s="14" t="str">
        <f t="shared" ref="K224:K225" si="90">HYPERLINK("http://twitter.com","Twitter Web Client")</f>
        <v>Twitter Web Client</v>
      </c>
      <c r="L224" s="13">
        <v>2303</v>
      </c>
      <c r="M224" s="13">
        <v>1820</v>
      </c>
      <c r="N224" s="13">
        <v>68</v>
      </c>
      <c r="O224" s="15"/>
      <c r="P224" s="6">
        <v>40773.75135416667</v>
      </c>
      <c r="Q224" s="16" t="s">
        <v>111</v>
      </c>
      <c r="R224" s="17" t="s">
        <v>401</v>
      </c>
      <c r="S224" s="12"/>
      <c r="T224" s="12"/>
      <c r="U224" s="10" t="str">
        <f t="shared" ref="U224:U225" si="91">HYPERLINK("https://pbs.twimg.com/profile_images/1062028217861709824/wyaW6mQk.jpg","View")</f>
        <v>View</v>
      </c>
    </row>
    <row r="225" spans="1:21" ht="40.799999999999997">
      <c r="A225" s="6">
        <v>43425.869328703702</v>
      </c>
      <c r="B225" s="7" t="str">
        <f t="shared" si="89"/>
        <v>@AndresSanto_</v>
      </c>
      <c r="C225" s="8" t="s">
        <v>398</v>
      </c>
      <c r="D225" s="9" t="s">
        <v>897</v>
      </c>
      <c r="E225" s="10" t="str">
        <f>HYPERLINK("https://twitter.com/AndresSanto_/status/1065331975047847937","1065331975047847937")</f>
        <v>1065331975047847937</v>
      </c>
      <c r="F225" s="12"/>
      <c r="G225" s="11" t="s">
        <v>898</v>
      </c>
      <c r="H225" s="12"/>
      <c r="I225" s="13">
        <v>1</v>
      </c>
      <c r="J225" s="13">
        <v>0</v>
      </c>
      <c r="K225" s="14" t="str">
        <f t="shared" si="90"/>
        <v>Twitter Web Client</v>
      </c>
      <c r="L225" s="13">
        <v>2303</v>
      </c>
      <c r="M225" s="13">
        <v>1820</v>
      </c>
      <c r="N225" s="13">
        <v>68</v>
      </c>
      <c r="O225" s="15"/>
      <c r="P225" s="6">
        <v>40773.75135416667</v>
      </c>
      <c r="Q225" s="16" t="s">
        <v>111</v>
      </c>
      <c r="R225" s="17" t="s">
        <v>401</v>
      </c>
      <c r="S225" s="12"/>
      <c r="T225" s="12"/>
      <c r="U225" s="10" t="str">
        <f t="shared" si="91"/>
        <v>View</v>
      </c>
    </row>
    <row r="226" spans="1:21" ht="71.400000000000006">
      <c r="A226" s="6">
        <v>43425.867581018523</v>
      </c>
      <c r="B226" s="7" t="str">
        <f>HYPERLINK("https://twitter.com/1horaenlibertad","@1horaenlibertad")</f>
        <v>@1horaenlibertad</v>
      </c>
      <c r="C226" s="8" t="s">
        <v>902</v>
      </c>
      <c r="D226" s="9" t="s">
        <v>903</v>
      </c>
      <c r="E226" s="10" t="str">
        <f>HYPERLINK("https://twitter.com/1horaenlibertad/status/1065331341640773633","1065331341640773633")</f>
        <v>1065331341640773633</v>
      </c>
      <c r="F226" s="11" t="s">
        <v>906</v>
      </c>
      <c r="G226" s="11" t="s">
        <v>907</v>
      </c>
      <c r="H226" s="12"/>
      <c r="I226" s="13">
        <v>1</v>
      </c>
      <c r="J226" s="13">
        <v>0</v>
      </c>
      <c r="K226" s="14" t="str">
        <f>HYPERLINK("http://twitter.com/download/iphone","Twitter for iPhone")</f>
        <v>Twitter for iPhone</v>
      </c>
      <c r="L226" s="13">
        <v>1785</v>
      </c>
      <c r="M226" s="13">
        <v>142</v>
      </c>
      <c r="N226" s="13">
        <v>25</v>
      </c>
      <c r="O226" s="15"/>
      <c r="P226" s="6">
        <v>41261.491053240738</v>
      </c>
      <c r="Q226" s="16" t="s">
        <v>66</v>
      </c>
      <c r="R226" s="17" t="s">
        <v>908</v>
      </c>
      <c r="S226" s="12"/>
      <c r="T226" s="12"/>
      <c r="U226" s="10" t="str">
        <f>HYPERLINK("https://pbs.twimg.com/profile_images/505097282476572672/yTr9BXPy.jpeg","View")</f>
        <v>View</v>
      </c>
    </row>
    <row r="227" spans="1:21" ht="40.799999999999997">
      <c r="A227" s="6">
        <v>43425.866377314815</v>
      </c>
      <c r="B227" s="7" t="str">
        <f>HYPERLINK("https://twitter.com/AndresSanto_","@AndresSanto_")</f>
        <v>@AndresSanto_</v>
      </c>
      <c r="C227" s="8" t="s">
        <v>398</v>
      </c>
      <c r="D227" s="9" t="s">
        <v>909</v>
      </c>
      <c r="E227" s="10" t="str">
        <f>HYPERLINK("https://twitter.com/AndresSanto_/status/1065330905357668358","1065330905357668358")</f>
        <v>1065330905357668358</v>
      </c>
      <c r="F227" s="12"/>
      <c r="G227" s="11" t="s">
        <v>910</v>
      </c>
      <c r="H227" s="12"/>
      <c r="I227" s="13">
        <v>1</v>
      </c>
      <c r="J227" s="13">
        <v>0</v>
      </c>
      <c r="K227" s="14" t="str">
        <f>HYPERLINK("http://twitter.com","Twitter Web Client")</f>
        <v>Twitter Web Client</v>
      </c>
      <c r="L227" s="13">
        <v>2303</v>
      </c>
      <c r="M227" s="13">
        <v>1820</v>
      </c>
      <c r="N227" s="13">
        <v>68</v>
      </c>
      <c r="O227" s="15"/>
      <c r="P227" s="6">
        <v>40773.75135416667</v>
      </c>
      <c r="Q227" s="16" t="s">
        <v>111</v>
      </c>
      <c r="R227" s="17" t="s">
        <v>401</v>
      </c>
      <c r="S227" s="12"/>
      <c r="T227" s="12"/>
      <c r="U227" s="10" t="str">
        <f>HYPERLINK("https://pbs.twimg.com/profile_images/1062028217861709824/wyaW6mQk.jpg","View")</f>
        <v>View</v>
      </c>
    </row>
    <row r="228" spans="1:21" ht="40.799999999999997">
      <c r="A228" s="6">
        <v>43425.866111111114</v>
      </c>
      <c r="B228" s="7" t="str">
        <f>HYPERLINK("https://twitter.com/notincporc","@notincporc")</f>
        <v>@notincporc</v>
      </c>
      <c r="C228" s="8" t="s">
        <v>911</v>
      </c>
      <c r="D228" s="9" t="s">
        <v>912</v>
      </c>
      <c r="E228" s="10" t="str">
        <f>HYPERLINK("https://twitter.com/notincporc/status/1065330808708349952","1065330808708349952")</f>
        <v>1065330808708349952</v>
      </c>
      <c r="F228" s="12"/>
      <c r="G228" s="12"/>
      <c r="H228" s="12"/>
      <c r="I228" s="13">
        <v>0</v>
      </c>
      <c r="J228" s="13">
        <v>0</v>
      </c>
      <c r="K228" s="14" t="str">
        <f>HYPERLINK("https://mobile.twitter.com","Twitter Lite")</f>
        <v>Twitter Lite</v>
      </c>
      <c r="L228" s="13">
        <v>5</v>
      </c>
      <c r="M228" s="13">
        <v>86</v>
      </c>
      <c r="N228" s="13">
        <v>0</v>
      </c>
      <c r="O228" s="15"/>
      <c r="P228" s="6">
        <v>43013.620590277773</v>
      </c>
      <c r="Q228" s="12"/>
      <c r="R228" s="17" t="s">
        <v>913</v>
      </c>
      <c r="S228" s="12"/>
      <c r="T228" s="12"/>
      <c r="U228" s="10" t="str">
        <f>HYPERLINK("https://pbs.twimg.com/profile_images/915923364182716417/ager91rS.jpg","View")</f>
        <v>View</v>
      </c>
    </row>
    <row r="229" spans="1:21" ht="40.799999999999997">
      <c r="A229" s="6">
        <v>43425.858437499999</v>
      </c>
      <c r="B229" s="7" t="str">
        <f>HYPERLINK("https://twitter.com/hgrosado","@hgrosado")</f>
        <v>@hgrosado</v>
      </c>
      <c r="C229" s="8" t="s">
        <v>914</v>
      </c>
      <c r="D229" s="9" t="s">
        <v>915</v>
      </c>
      <c r="E229" s="10" t="str">
        <f>HYPERLINK("https://twitter.com/hgrosado/status/1065328028623020032","1065328028623020032")</f>
        <v>1065328028623020032</v>
      </c>
      <c r="F229" s="12"/>
      <c r="G229" s="12"/>
      <c r="H229" s="12"/>
      <c r="I229" s="13">
        <v>0</v>
      </c>
      <c r="J229" s="13">
        <v>0</v>
      </c>
      <c r="K229" s="14" t="str">
        <f>HYPERLINK("http://twitter.com/download/android","Twitter for Android")</f>
        <v>Twitter for Android</v>
      </c>
      <c r="L229" s="13">
        <v>874</v>
      </c>
      <c r="M229" s="13">
        <v>969</v>
      </c>
      <c r="N229" s="13">
        <v>84</v>
      </c>
      <c r="O229" s="15"/>
      <c r="P229" s="6">
        <v>39412.394259259258</v>
      </c>
      <c r="Q229" s="16" t="s">
        <v>104</v>
      </c>
      <c r="R229" s="17" t="s">
        <v>916</v>
      </c>
      <c r="S229" s="12"/>
      <c r="T229" s="12"/>
      <c r="U229" s="10" t="str">
        <f>HYPERLINK("https://pbs.twimg.com/profile_images/1294589225/goya.jpg","View")</f>
        <v>View</v>
      </c>
    </row>
    <row r="230" spans="1:21" ht="71.400000000000006">
      <c r="A230" s="6">
        <v>43425.856805555552</v>
      </c>
      <c r="B230" s="7" t="str">
        <f>HYPERLINK("https://twitter.com/VOX_Albacete","@VOX_Albacete")</f>
        <v>@VOX_Albacete</v>
      </c>
      <c r="C230" s="8" t="s">
        <v>917</v>
      </c>
      <c r="D230" s="9" t="s">
        <v>918</v>
      </c>
      <c r="E230" s="10" t="str">
        <f>HYPERLINK("https://twitter.com/VOX_Albacete/status/1065327439193223169","1065327439193223169")</f>
        <v>1065327439193223169</v>
      </c>
      <c r="F230" s="11" t="s">
        <v>919</v>
      </c>
      <c r="G230" s="11" t="s">
        <v>920</v>
      </c>
      <c r="H230" s="12"/>
      <c r="I230" s="13">
        <v>6</v>
      </c>
      <c r="J230" s="13">
        <v>4</v>
      </c>
      <c r="K230" s="14" t="str">
        <f>HYPERLINK("http://twitter.com/download/iphone","Twitter for iPhone")</f>
        <v>Twitter for iPhone</v>
      </c>
      <c r="L230" s="13">
        <v>2205</v>
      </c>
      <c r="M230" s="13">
        <v>1852</v>
      </c>
      <c r="N230" s="13">
        <v>19</v>
      </c>
      <c r="O230" s="15"/>
      <c r="P230" s="6">
        <v>41706.999259259261</v>
      </c>
      <c r="Q230" s="16" t="s">
        <v>922</v>
      </c>
      <c r="R230" s="17" t="s">
        <v>923</v>
      </c>
      <c r="S230" s="11" t="s">
        <v>924</v>
      </c>
      <c r="T230" s="12"/>
      <c r="U230" s="10" t="str">
        <f>HYPERLINK("https://pbs.twimg.com/profile_images/772272127798087680/5T0wLc67.jpg","View")</f>
        <v>View</v>
      </c>
    </row>
    <row r="231" spans="1:21" ht="20.399999999999999">
      <c r="A231" s="6">
        <v>43425.853692129633</v>
      </c>
      <c r="B231" s="7" t="str">
        <f>HYPERLINK("https://twitter.com/castellanapura","@castellanapura")</f>
        <v>@castellanapura</v>
      </c>
      <c r="C231" s="8" t="s">
        <v>1101</v>
      </c>
      <c r="D231" s="9" t="s">
        <v>1102</v>
      </c>
      <c r="E231" s="10" t="str">
        <f>HYPERLINK("https://twitter.com/castellanapura/status/1065326310438916098","1065326310438916098")</f>
        <v>1065326310438916098</v>
      </c>
      <c r="F231" s="11" t="s">
        <v>1104</v>
      </c>
      <c r="G231" s="12"/>
      <c r="H231" s="12"/>
      <c r="I231" s="13">
        <v>1</v>
      </c>
      <c r="J231" s="13">
        <v>0</v>
      </c>
      <c r="K231" s="14" t="str">
        <f>HYPERLINK("http://twitter.com","Twitter Web Client")</f>
        <v>Twitter Web Client</v>
      </c>
      <c r="L231" s="13">
        <v>2271</v>
      </c>
      <c r="M231" s="13">
        <v>3970</v>
      </c>
      <c r="N231" s="13">
        <v>98</v>
      </c>
      <c r="O231" s="15"/>
      <c r="P231" s="6">
        <v>41264.520324074074</v>
      </c>
      <c r="Q231" s="12"/>
      <c r="R231" s="17" t="s">
        <v>1106</v>
      </c>
      <c r="S231" s="12"/>
      <c r="T231" s="12"/>
      <c r="U231" s="10" t="str">
        <f>HYPERLINK("https://pbs.twimg.com/profile_images/999929581233754112/1NA6LUp0.jpg","View")</f>
        <v>View</v>
      </c>
    </row>
    <row r="232" spans="1:21" ht="30.6">
      <c r="A232" s="6">
        <v>43425.850115740745</v>
      </c>
      <c r="B232" s="7" t="str">
        <f>HYPERLINK("https://twitter.com/Esperan72342738","@Esperan72342738")</f>
        <v>@Esperan72342738</v>
      </c>
      <c r="C232" s="8" t="s">
        <v>926</v>
      </c>
      <c r="D232" s="9" t="s">
        <v>927</v>
      </c>
      <c r="E232" s="10" t="str">
        <f>HYPERLINK("https://twitter.com/Esperan72342738/status/1065325010875760640","1065325010875760640")</f>
        <v>1065325010875760640</v>
      </c>
      <c r="F232" s="11" t="s">
        <v>928</v>
      </c>
      <c r="G232" s="12"/>
      <c r="H232" s="12"/>
      <c r="I232" s="13">
        <v>0</v>
      </c>
      <c r="J232" s="13">
        <v>2</v>
      </c>
      <c r="K232" s="14" t="str">
        <f>HYPERLINK("http://twitter.com/download/android","Twitter for Android")</f>
        <v>Twitter for Android</v>
      </c>
      <c r="L232" s="13">
        <v>40</v>
      </c>
      <c r="M232" s="13">
        <v>127</v>
      </c>
      <c r="N232" s="13">
        <v>1</v>
      </c>
      <c r="O232" s="15"/>
      <c r="P232" s="6">
        <v>43349.959178240737</v>
      </c>
      <c r="Q232" s="16" t="s">
        <v>929</v>
      </c>
      <c r="R232" s="17" t="s">
        <v>930</v>
      </c>
      <c r="S232" s="12"/>
      <c r="T232" s="12"/>
      <c r="U232" s="10" t="str">
        <f>HYPERLINK("https://pbs.twimg.com/profile_images/1038890872006426630/jGHMvJos.jpg","View")</f>
        <v>View</v>
      </c>
    </row>
    <row r="233" spans="1:21" ht="30.6">
      <c r="A233" s="6">
        <v>43425.835104166668</v>
      </c>
      <c r="B233" s="7" t="str">
        <f>HYPERLINK("https://twitter.com/andaluciacaza","@andaluciacaza")</f>
        <v>@andaluciacaza</v>
      </c>
      <c r="C233" s="8" t="s">
        <v>578</v>
      </c>
      <c r="D233" s="9" t="s">
        <v>931</v>
      </c>
      <c r="E233" s="10" t="str">
        <f>HYPERLINK("https://twitter.com/andaluciacaza/status/1065319574722232320","1065319574722232320")</f>
        <v>1065319574722232320</v>
      </c>
      <c r="F233" s="11" t="s">
        <v>932</v>
      </c>
      <c r="G233" s="12"/>
      <c r="H233" s="12"/>
      <c r="I233" s="13">
        <v>14</v>
      </c>
      <c r="J233" s="13">
        <v>20</v>
      </c>
      <c r="K233" s="14" t="str">
        <f>HYPERLINK("http://twitter.com/download/iphone","Twitter for iPhone")</f>
        <v>Twitter for iPhone</v>
      </c>
      <c r="L233" s="13">
        <v>5268</v>
      </c>
      <c r="M233" s="13">
        <v>609</v>
      </c>
      <c r="N233" s="13">
        <v>42</v>
      </c>
      <c r="O233" s="15"/>
      <c r="P233" s="6">
        <v>40963.870659722219</v>
      </c>
      <c r="Q233" s="16" t="s">
        <v>583</v>
      </c>
      <c r="R233" s="17" t="s">
        <v>584</v>
      </c>
      <c r="S233" s="11" t="s">
        <v>585</v>
      </c>
      <c r="T233" s="12"/>
      <c r="U233" s="10" t="str">
        <f>HYPERLINK("https://pbs.twimg.com/profile_images/933001755230703618/pWJ6pIQX.jpg","View")</f>
        <v>View</v>
      </c>
    </row>
    <row r="234" spans="1:21" ht="61.2">
      <c r="A234" s="6">
        <v>43425.821886574078</v>
      </c>
      <c r="B234" s="7" t="str">
        <f>HYPERLINK("https://twitter.com/AndresSanto_","@AndresSanto_")</f>
        <v>@AndresSanto_</v>
      </c>
      <c r="C234" s="8" t="s">
        <v>398</v>
      </c>
      <c r="D234" s="9" t="s">
        <v>933</v>
      </c>
      <c r="E234" s="10" t="str">
        <f>HYPERLINK("https://twitter.com/AndresSanto_/status/1065314780884406272","1065314780884406272")</f>
        <v>1065314780884406272</v>
      </c>
      <c r="F234" s="12"/>
      <c r="G234" s="11" t="s">
        <v>934</v>
      </c>
      <c r="H234" s="12"/>
      <c r="I234" s="13">
        <v>0</v>
      </c>
      <c r="J234" s="13">
        <v>1</v>
      </c>
      <c r="K234" s="14" t="str">
        <f>HYPERLINK("http://twitter.com","Twitter Web Client")</f>
        <v>Twitter Web Client</v>
      </c>
      <c r="L234" s="13">
        <v>2303</v>
      </c>
      <c r="M234" s="13">
        <v>1820</v>
      </c>
      <c r="N234" s="13">
        <v>68</v>
      </c>
      <c r="O234" s="15"/>
      <c r="P234" s="6">
        <v>40773.75135416667</v>
      </c>
      <c r="Q234" s="16" t="s">
        <v>111</v>
      </c>
      <c r="R234" s="17" t="s">
        <v>401</v>
      </c>
      <c r="S234" s="12"/>
      <c r="T234" s="12"/>
      <c r="U234" s="10" t="str">
        <f>HYPERLINK("https://pbs.twimg.com/profile_images/1062028217861709824/wyaW6mQk.jpg","View")</f>
        <v>View</v>
      </c>
    </row>
    <row r="235" spans="1:21" ht="40.799999999999997">
      <c r="A235" s="6">
        <v>43425.821747685186</v>
      </c>
      <c r="B235" s="7" t="str">
        <f>HYPERLINK("https://twitter.com/JavierJ67840778","@JavierJ67840778")</f>
        <v>@JavierJ67840778</v>
      </c>
      <c r="C235" s="8" t="s">
        <v>416</v>
      </c>
      <c r="D235" s="9" t="s">
        <v>937</v>
      </c>
      <c r="E235" s="10" t="str">
        <f>HYPERLINK("https://twitter.com/JavierJ67840778/status/1065314733237198848","1065314733237198848")</f>
        <v>1065314733237198848</v>
      </c>
      <c r="F235" s="12"/>
      <c r="G235" s="11" t="s">
        <v>842</v>
      </c>
      <c r="H235" s="12"/>
      <c r="I235" s="13">
        <v>55</v>
      </c>
      <c r="J235" s="13">
        <v>222</v>
      </c>
      <c r="K235" s="14" t="str">
        <f>HYPERLINK("http://twitter.com/download/android","Twitter for Android")</f>
        <v>Twitter for Android</v>
      </c>
      <c r="L235" s="13">
        <v>2251</v>
      </c>
      <c r="M235" s="13">
        <v>4154</v>
      </c>
      <c r="N235" s="13">
        <v>9</v>
      </c>
      <c r="O235" s="15"/>
      <c r="P235" s="6">
        <v>42205.888761574075</v>
      </c>
      <c r="Q235" s="12"/>
      <c r="R235" s="17" t="s">
        <v>419</v>
      </c>
      <c r="S235" s="12"/>
      <c r="T235" s="12"/>
      <c r="U235" s="10" t="str">
        <f>HYPERLINK("https://pbs.twimg.com/profile_images/1031281973258604544/1sqSdUNc.jpg","View")</f>
        <v>View</v>
      </c>
    </row>
    <row r="236" spans="1:21" ht="40.799999999999997">
      <c r="A236" s="6">
        <v>43425.821111111116</v>
      </c>
      <c r="B236" s="7" t="str">
        <f>HYPERLINK("https://twitter.com/calixtaberry","@calixtaberry")</f>
        <v>@calixtaberry</v>
      </c>
      <c r="C236" s="8" t="s">
        <v>939</v>
      </c>
      <c r="D236" s="9" t="s">
        <v>940</v>
      </c>
      <c r="E236" s="10" t="str">
        <f>HYPERLINK("https://twitter.com/calixtaberry/status/1065314500096724993","1065314500096724993")</f>
        <v>1065314500096724993</v>
      </c>
      <c r="F236" s="12"/>
      <c r="G236" s="11" t="s">
        <v>941</v>
      </c>
      <c r="H236" s="12"/>
      <c r="I236" s="13">
        <v>0</v>
      </c>
      <c r="J236" s="13">
        <v>0</v>
      </c>
      <c r="K236" s="14" t="str">
        <f>HYPERLINK("https://mobile.twitter.com","Twitter Lite")</f>
        <v>Twitter Lite</v>
      </c>
      <c r="L236" s="13">
        <v>1041</v>
      </c>
      <c r="M236" s="13">
        <v>1054</v>
      </c>
      <c r="N236" s="13">
        <v>4</v>
      </c>
      <c r="O236" s="15"/>
      <c r="P236" s="6">
        <v>40572.842719907407</v>
      </c>
      <c r="Q236" s="16" t="s">
        <v>66</v>
      </c>
      <c r="R236" s="17" t="s">
        <v>942</v>
      </c>
      <c r="S236" s="12"/>
      <c r="T236" s="12"/>
      <c r="U236" s="10" t="str">
        <f>HYPERLINK("https://pbs.twimg.com/profile_images/1008319124991340544/UCtApCkP.jpg","View")</f>
        <v>View</v>
      </c>
    </row>
    <row r="237" spans="1:21" ht="30.6">
      <c r="A237" s="6">
        <v>43425.81753472222</v>
      </c>
      <c r="B237" s="7" t="str">
        <f>HYPERLINK("https://twitter.com/bartlebyt","@bartlebyt")</f>
        <v>@bartlebyt</v>
      </c>
      <c r="C237" s="8" t="s">
        <v>1130</v>
      </c>
      <c r="D237" s="9" t="s">
        <v>1131</v>
      </c>
      <c r="E237" s="10" t="str">
        <f>HYPERLINK("https://twitter.com/bartlebyt/status/1065313207596793856","1065313207596793856")</f>
        <v>1065313207596793856</v>
      </c>
      <c r="F237" s="12"/>
      <c r="G237" s="12"/>
      <c r="H237" s="12"/>
      <c r="I237" s="13">
        <v>0</v>
      </c>
      <c r="J237" s="13">
        <v>4</v>
      </c>
      <c r="K237" s="14" t="str">
        <f t="shared" ref="K237:K238" si="92">HYPERLINK("http://twitter.com/download/iphone","Twitter for iPhone")</f>
        <v>Twitter for iPhone</v>
      </c>
      <c r="L237" s="13">
        <v>340</v>
      </c>
      <c r="M237" s="13">
        <v>957</v>
      </c>
      <c r="N237" s="13">
        <v>15</v>
      </c>
      <c r="O237" s="15"/>
      <c r="P237" s="6">
        <v>40859.838738425926</v>
      </c>
      <c r="Q237" s="16" t="s">
        <v>1135</v>
      </c>
      <c r="R237" s="17" t="s">
        <v>1136</v>
      </c>
      <c r="S237" s="12"/>
      <c r="T237" s="12"/>
      <c r="U237" s="10" t="str">
        <f>HYPERLINK("https://pbs.twimg.com/profile_images/1021331330758594560/G53uRhj7.jpg","View")</f>
        <v>View</v>
      </c>
    </row>
    <row r="238" spans="1:21" ht="30.6">
      <c r="A238" s="6">
        <v>43425.809537037036</v>
      </c>
      <c r="B238" s="7" t="str">
        <f>HYPERLINK("https://twitter.com/andaluciacaza","@andaluciacaza")</f>
        <v>@andaluciacaza</v>
      </c>
      <c r="C238" s="8" t="s">
        <v>578</v>
      </c>
      <c r="D238" s="9" t="s">
        <v>943</v>
      </c>
      <c r="E238" s="10" t="str">
        <f>HYPERLINK("https://twitter.com/andaluciacaza/status/1065310307244023809","1065310307244023809")</f>
        <v>1065310307244023809</v>
      </c>
      <c r="F238" s="12"/>
      <c r="G238" s="11" t="s">
        <v>920</v>
      </c>
      <c r="H238" s="12"/>
      <c r="I238" s="13">
        <v>150</v>
      </c>
      <c r="J238" s="13">
        <v>253</v>
      </c>
      <c r="K238" s="14" t="str">
        <f t="shared" si="92"/>
        <v>Twitter for iPhone</v>
      </c>
      <c r="L238" s="13">
        <v>5268</v>
      </c>
      <c r="M238" s="13">
        <v>609</v>
      </c>
      <c r="N238" s="13">
        <v>42</v>
      </c>
      <c r="O238" s="15"/>
      <c r="P238" s="6">
        <v>40963.870659722219</v>
      </c>
      <c r="Q238" s="16" t="s">
        <v>583</v>
      </c>
      <c r="R238" s="17" t="s">
        <v>584</v>
      </c>
      <c r="S238" s="11" t="s">
        <v>585</v>
      </c>
      <c r="T238" s="12"/>
      <c r="U238" s="10" t="str">
        <f>HYPERLINK("https://pbs.twimg.com/profile_images/933001755230703618/pWJ6pIQX.jpg","View")</f>
        <v>View</v>
      </c>
    </row>
    <row r="239" spans="1:21" ht="40.799999999999997">
      <c r="A239" s="6">
        <v>43425.808298611111</v>
      </c>
      <c r="B239" s="7" t="str">
        <f>HYPERLINK("https://twitter.com/FranLop00445911","@FranLop00445911")</f>
        <v>@FranLop00445911</v>
      </c>
      <c r="C239" s="8" t="s">
        <v>944</v>
      </c>
      <c r="D239" s="9" t="s">
        <v>945</v>
      </c>
      <c r="E239" s="10" t="str">
        <f>HYPERLINK("https://twitter.com/FranLop00445911/status/1065309860072497152","1065309860072497152")</f>
        <v>1065309860072497152</v>
      </c>
      <c r="F239" s="12"/>
      <c r="G239" s="11" t="s">
        <v>946</v>
      </c>
      <c r="H239" s="12"/>
      <c r="I239" s="13">
        <v>3</v>
      </c>
      <c r="J239" s="13">
        <v>6</v>
      </c>
      <c r="K239" s="14" t="str">
        <f>HYPERLINK("http://twitter.com/download/android","Twitter for Android")</f>
        <v>Twitter for Android</v>
      </c>
      <c r="L239" s="13">
        <v>194</v>
      </c>
      <c r="M239" s="13">
        <v>213</v>
      </c>
      <c r="N239" s="13">
        <v>0</v>
      </c>
      <c r="O239" s="15"/>
      <c r="P239" s="6">
        <v>42301.760104166664</v>
      </c>
      <c r="Q239" s="16" t="s">
        <v>947</v>
      </c>
      <c r="R239" s="17" t="s">
        <v>948</v>
      </c>
      <c r="S239" s="12"/>
      <c r="T239" s="12"/>
      <c r="U239" s="10" t="str">
        <f>HYPERLINK("https://pbs.twimg.com/profile_images/917130806786748418/dge2OGd3.jpg","View")</f>
        <v>View</v>
      </c>
    </row>
    <row r="240" spans="1:21" ht="51">
      <c r="A240" s="6">
        <v>43425.807939814811</v>
      </c>
      <c r="B240" s="7" t="str">
        <f>HYPERLINK("https://twitter.com/vox_es","@vox_es")</f>
        <v>@vox_es</v>
      </c>
      <c r="C240" s="8" t="s">
        <v>689</v>
      </c>
      <c r="D240" s="9" t="s">
        <v>950</v>
      </c>
      <c r="E240" s="10" t="str">
        <f>HYPERLINK("https://twitter.com/vox_es/status/1065309727310123008","1065309727310123008")</f>
        <v>1065309727310123008</v>
      </c>
      <c r="F240" s="12"/>
      <c r="G240" s="11" t="s">
        <v>951</v>
      </c>
      <c r="H240" s="12"/>
      <c r="I240" s="13">
        <v>218</v>
      </c>
      <c r="J240" s="13">
        <v>337</v>
      </c>
      <c r="K240" s="14" t="str">
        <f>HYPERLINK("http://twitter.com","Twitter Web Client")</f>
        <v>Twitter Web Client</v>
      </c>
      <c r="L240" s="13">
        <v>122548</v>
      </c>
      <c r="M240" s="13">
        <v>915</v>
      </c>
      <c r="N240" s="13">
        <v>919</v>
      </c>
      <c r="O240" s="23" t="s">
        <v>186</v>
      </c>
      <c r="P240" s="6">
        <v>41596.746655092589</v>
      </c>
      <c r="Q240" s="12"/>
      <c r="R240" s="17" t="s">
        <v>694</v>
      </c>
      <c r="S240" s="11" t="s">
        <v>187</v>
      </c>
      <c r="T240" s="12"/>
      <c r="U240" s="10" t="str">
        <f>HYPERLINK("https://pbs.twimg.com/profile_images/1016653788617363456/m3b3jqW5.jpg","View")</f>
        <v>View</v>
      </c>
    </row>
    <row r="241" spans="1:21" ht="40.799999999999997">
      <c r="A241" s="6">
        <v>43425.802812499998</v>
      </c>
      <c r="B241" s="7" t="str">
        <f>HYPERLINK("https://twitter.com/alfilvaliente","@alfilvaliente")</f>
        <v>@alfilvaliente</v>
      </c>
      <c r="C241" s="8" t="s">
        <v>63</v>
      </c>
      <c r="D241" s="9" t="s">
        <v>954</v>
      </c>
      <c r="E241" s="10" t="str">
        <f>HYPERLINK("https://twitter.com/alfilvaliente/status/1065307872450568192","1065307872450568192")</f>
        <v>1065307872450568192</v>
      </c>
      <c r="F241" s="11" t="s">
        <v>955</v>
      </c>
      <c r="G241" s="12"/>
      <c r="H241" s="12"/>
      <c r="I241" s="13">
        <v>0</v>
      </c>
      <c r="J241" s="13">
        <v>0</v>
      </c>
      <c r="K241" s="14" t="str">
        <f>HYPERLINK("http://twitter.com/download/android","Twitter for Android")</f>
        <v>Twitter for Android</v>
      </c>
      <c r="L241" s="13">
        <v>140</v>
      </c>
      <c r="M241" s="13">
        <v>175</v>
      </c>
      <c r="N241" s="13">
        <v>2</v>
      </c>
      <c r="O241" s="15"/>
      <c r="P241" s="6">
        <v>42155.723541666666</v>
      </c>
      <c r="Q241" s="16" t="s">
        <v>66</v>
      </c>
      <c r="R241" s="17" t="s">
        <v>67</v>
      </c>
      <c r="S241" s="12"/>
      <c r="T241" s="12"/>
      <c r="U241" s="10" t="str">
        <f>HYPERLINK("https://pbs.twimg.com/profile_images/1048557989513322496/MOej_hMM.jpg","View")</f>
        <v>View</v>
      </c>
    </row>
    <row r="242" spans="1:21" ht="81.599999999999994">
      <c r="A242" s="6">
        <v>43425.796770833331</v>
      </c>
      <c r="B242" s="7" t="str">
        <f>HYPERLINK("https://twitter.com/Jrmgonzalez","@Jrmgonzalez")</f>
        <v>@Jrmgonzalez</v>
      </c>
      <c r="C242" s="8" t="s">
        <v>308</v>
      </c>
      <c r="D242" s="9" t="s">
        <v>958</v>
      </c>
      <c r="E242" s="10" t="str">
        <f>HYPERLINK("https://twitter.com/Jrmgonzalez/status/1065305683267063812","1065305683267063812")</f>
        <v>1065305683267063812</v>
      </c>
      <c r="F242" s="11" t="s">
        <v>959</v>
      </c>
      <c r="G242" s="11" t="s">
        <v>960</v>
      </c>
      <c r="H242" s="12"/>
      <c r="I242" s="13">
        <v>2</v>
      </c>
      <c r="J242" s="13">
        <v>3</v>
      </c>
      <c r="K242" s="14" t="str">
        <f>HYPERLINK("http://twitter.com/download/iphone","Twitter for iPhone")</f>
        <v>Twitter for iPhone</v>
      </c>
      <c r="L242" s="13">
        <v>32</v>
      </c>
      <c r="M242" s="13">
        <v>265</v>
      </c>
      <c r="N242" s="13">
        <v>2</v>
      </c>
      <c r="O242" s="15"/>
      <c r="P242" s="6">
        <v>41696.563379629632</v>
      </c>
      <c r="Q242" s="16" t="s">
        <v>312</v>
      </c>
      <c r="R242" s="17" t="s">
        <v>313</v>
      </c>
      <c r="S242" s="12"/>
      <c r="T242" s="12"/>
      <c r="U242" s="10" t="str">
        <f>HYPERLINK("https://pbs.twimg.com/profile_images/951188977960222721/P3ZmIVlt.jpg","View")</f>
        <v>View</v>
      </c>
    </row>
    <row r="243" spans="1:21" ht="30.6">
      <c r="A243" s="6">
        <v>43425.787604166668</v>
      </c>
      <c r="B243" s="7" t="str">
        <f>HYPERLINK("https://twitter.com/DanielE09894465","@DanielE09894465")</f>
        <v>@DanielE09894465</v>
      </c>
      <c r="C243" s="8" t="s">
        <v>962</v>
      </c>
      <c r="D243" s="9" t="s">
        <v>963</v>
      </c>
      <c r="E243" s="10" t="str">
        <f>HYPERLINK("https://twitter.com/DanielE09894465/status/1065302360010952704","1065302360010952704")</f>
        <v>1065302360010952704</v>
      </c>
      <c r="F243" s="12"/>
      <c r="G243" s="11" t="s">
        <v>964</v>
      </c>
      <c r="H243" s="12"/>
      <c r="I243" s="13">
        <v>0</v>
      </c>
      <c r="J243" s="13">
        <v>0</v>
      </c>
      <c r="K243" s="14" t="str">
        <f t="shared" ref="K243:K246" si="93">HYPERLINK("http://twitter.com/download/android","Twitter for Android")</f>
        <v>Twitter for Android</v>
      </c>
      <c r="L243" s="13">
        <v>21</v>
      </c>
      <c r="M243" s="13">
        <v>17</v>
      </c>
      <c r="N243" s="13">
        <v>0</v>
      </c>
      <c r="O243" s="15"/>
      <c r="P243" s="6">
        <v>43417.573148148149</v>
      </c>
      <c r="Q243" s="16" t="s">
        <v>66</v>
      </c>
      <c r="R243" s="17" t="s">
        <v>965</v>
      </c>
      <c r="S243" s="12"/>
      <c r="T243" s="12"/>
      <c r="U243" s="10" t="str">
        <f>HYPERLINK("https://pbs.twimg.com/profile_images/1063911443102343169/q95GWXPF.jpg","View")</f>
        <v>View</v>
      </c>
    </row>
    <row r="244" spans="1:21" ht="30.6">
      <c r="A244" s="6">
        <v>43425.76835648148</v>
      </c>
      <c r="B244" s="7" t="str">
        <f>HYPERLINK("https://twitter.com/construyexitos","@construyexitos")</f>
        <v>@construyexitos</v>
      </c>
      <c r="C244" s="8" t="s">
        <v>1165</v>
      </c>
      <c r="D244" s="9" t="s">
        <v>1167</v>
      </c>
      <c r="E244" s="10" t="str">
        <f>HYPERLINK("https://twitter.com/construyexitos/status/1065295385521004544","1065295385521004544")</f>
        <v>1065295385521004544</v>
      </c>
      <c r="F244" s="11" t="s">
        <v>1170</v>
      </c>
      <c r="G244" s="12"/>
      <c r="H244" s="12"/>
      <c r="I244" s="13">
        <v>5</v>
      </c>
      <c r="J244" s="13">
        <v>6</v>
      </c>
      <c r="K244" s="14" t="str">
        <f t="shared" si="93"/>
        <v>Twitter for Android</v>
      </c>
      <c r="L244" s="13">
        <v>4417</v>
      </c>
      <c r="M244" s="13">
        <v>4444</v>
      </c>
      <c r="N244" s="13">
        <v>16</v>
      </c>
      <c r="O244" s="15"/>
      <c r="P244" s="6">
        <v>40549.987187500003</v>
      </c>
      <c r="Q244" s="12"/>
      <c r="R244" s="17" t="s">
        <v>1171</v>
      </c>
      <c r="S244" s="12"/>
      <c r="T244" s="12"/>
      <c r="U244" s="10" t="str">
        <f>HYPERLINK("https://pbs.twimg.com/profile_images/2892203399/6a265595e6aeedf9586886d1b1191708.jpeg","View")</f>
        <v>View</v>
      </c>
    </row>
    <row r="245" spans="1:21" ht="20.399999999999999">
      <c r="A245" s="6">
        <v>43425.76059027778</v>
      </c>
      <c r="B245" s="7" t="str">
        <f>HYPERLINK("https://twitter.com/lunadebenidorm","@lunadebenidorm")</f>
        <v>@lunadebenidorm</v>
      </c>
      <c r="C245" s="8" t="s">
        <v>106</v>
      </c>
      <c r="D245" s="9" t="s">
        <v>966</v>
      </c>
      <c r="E245" s="10" t="str">
        <f>HYPERLINK("https://twitter.com/lunadebenidorm/status/1065292569884659713","1065292569884659713")</f>
        <v>1065292569884659713</v>
      </c>
      <c r="F245" s="11" t="s">
        <v>968</v>
      </c>
      <c r="G245" s="12"/>
      <c r="H245" s="12"/>
      <c r="I245" s="13">
        <v>0</v>
      </c>
      <c r="J245" s="13">
        <v>0</v>
      </c>
      <c r="K245" s="14" t="str">
        <f t="shared" si="93"/>
        <v>Twitter for Android</v>
      </c>
      <c r="L245" s="13">
        <v>3991</v>
      </c>
      <c r="M245" s="13">
        <v>3978</v>
      </c>
      <c r="N245" s="13">
        <v>79</v>
      </c>
      <c r="O245" s="15"/>
      <c r="P245" s="6">
        <v>41461.81186342593</v>
      </c>
      <c r="Q245" s="12"/>
      <c r="R245" s="17" t="s">
        <v>108</v>
      </c>
      <c r="S245" s="12"/>
      <c r="T245" s="12"/>
      <c r="U245" s="10" t="str">
        <f>HYPERLINK("https://pbs.twimg.com/profile_images/1061229593758257153/rePCQt08.jpg","View")</f>
        <v>View</v>
      </c>
    </row>
    <row r="246" spans="1:21" ht="30.6">
      <c r="A246" s="6">
        <v>43425.744479166664</v>
      </c>
      <c r="B246" s="7" t="str">
        <f>HYPERLINK("https://twitter.com/ActuaBaleares","@ActuaBaleares")</f>
        <v>@ActuaBaleares</v>
      </c>
      <c r="C246" s="8" t="s">
        <v>969</v>
      </c>
      <c r="D246" s="9" t="s">
        <v>970</v>
      </c>
      <c r="E246" s="10" t="str">
        <f>HYPERLINK("https://twitter.com/ActuaBaleares/status/1065286731308679169","1065286731308679169")</f>
        <v>1065286731308679169</v>
      </c>
      <c r="F246" s="11" t="s">
        <v>305</v>
      </c>
      <c r="G246" s="12"/>
      <c r="H246" s="12"/>
      <c r="I246" s="13">
        <v>5</v>
      </c>
      <c r="J246" s="13">
        <v>10</v>
      </c>
      <c r="K246" s="14" t="str">
        <f t="shared" si="93"/>
        <v>Twitter for Android</v>
      </c>
      <c r="L246" s="13">
        <v>3503</v>
      </c>
      <c r="M246" s="13">
        <v>703</v>
      </c>
      <c r="N246" s="13">
        <v>41</v>
      </c>
      <c r="O246" s="15"/>
      <c r="P246" s="6">
        <v>41214.003194444442</v>
      </c>
      <c r="Q246" s="16" t="s">
        <v>973</v>
      </c>
      <c r="R246" s="17" t="s">
        <v>974</v>
      </c>
      <c r="S246" s="11" t="s">
        <v>975</v>
      </c>
      <c r="T246" s="12"/>
      <c r="U246" s="10" t="str">
        <f>HYPERLINK("https://pbs.twimg.com/profile_images/1064974267673137156/CooQxXIo.jpg","View")</f>
        <v>View</v>
      </c>
    </row>
    <row r="247" spans="1:21" ht="61.2">
      <c r="A247" s="6">
        <v>43425.741018518514</v>
      </c>
      <c r="B247" s="7" t="str">
        <f>HYPERLINK("https://twitter.com/Alternativa_VOX","@Alternativa_VOX")</f>
        <v>@Alternativa_VOX</v>
      </c>
      <c r="C247" s="8" t="s">
        <v>977</v>
      </c>
      <c r="D247" s="9" t="s">
        <v>978</v>
      </c>
      <c r="E247" s="10" t="str">
        <f>HYPERLINK("https://twitter.com/Alternativa_VOX/status/1065285477098491904","1065285477098491904")</f>
        <v>1065285477098491904</v>
      </c>
      <c r="F247" s="12"/>
      <c r="G247" s="11" t="s">
        <v>979</v>
      </c>
      <c r="H247" s="12"/>
      <c r="I247" s="13">
        <v>358</v>
      </c>
      <c r="J247" s="13">
        <v>710</v>
      </c>
      <c r="K247" s="14" t="str">
        <f t="shared" ref="K247:K248" si="94">HYPERLINK("http://twitter.com/download/iphone","Twitter for iPhone")</f>
        <v>Twitter for iPhone</v>
      </c>
      <c r="L247" s="13">
        <v>14295</v>
      </c>
      <c r="M247" s="13">
        <v>2342</v>
      </c>
      <c r="N247" s="13">
        <v>63</v>
      </c>
      <c r="O247" s="15"/>
      <c r="P247" s="6">
        <v>42414.677303240736</v>
      </c>
      <c r="Q247" s="12"/>
      <c r="R247" s="17" t="s">
        <v>981</v>
      </c>
      <c r="S247" s="12"/>
      <c r="T247" s="12"/>
      <c r="U247" s="10" t="str">
        <f>HYPERLINK("https://pbs.twimg.com/profile_images/1054080233844936705/IYgqsUMs.jpg","View")</f>
        <v>View</v>
      </c>
    </row>
    <row r="248" spans="1:21" ht="81.599999999999994">
      <c r="A248" s="6">
        <v>43425.724027777775</v>
      </c>
      <c r="B248" s="7" t="str">
        <f>HYPERLINK("https://twitter.com/voxescorial","@voxescorial")</f>
        <v>@voxescorial</v>
      </c>
      <c r="C248" s="8" t="s">
        <v>982</v>
      </c>
      <c r="D248" s="9" t="s">
        <v>983</v>
      </c>
      <c r="E248" s="10" t="str">
        <f>HYPERLINK("https://twitter.com/voxescorial/status/1065279319902171138","1065279319902171138")</f>
        <v>1065279319902171138</v>
      </c>
      <c r="F248" s="11" t="s">
        <v>984</v>
      </c>
      <c r="G248" s="11" t="s">
        <v>985</v>
      </c>
      <c r="H248" s="12"/>
      <c r="I248" s="13">
        <v>3</v>
      </c>
      <c r="J248" s="13">
        <v>3</v>
      </c>
      <c r="K248" s="14" t="str">
        <f t="shared" si="94"/>
        <v>Twitter for iPhone</v>
      </c>
      <c r="L248" s="13">
        <v>1284</v>
      </c>
      <c r="M248" s="13">
        <v>203</v>
      </c>
      <c r="N248" s="13">
        <v>6</v>
      </c>
      <c r="O248" s="15"/>
      <c r="P248" s="6">
        <v>42425.555671296301</v>
      </c>
      <c r="Q248" s="16" t="s">
        <v>986</v>
      </c>
      <c r="R248" s="17" t="s">
        <v>987</v>
      </c>
      <c r="S248" s="11" t="s">
        <v>988</v>
      </c>
      <c r="T248" s="12"/>
      <c r="U248" s="10" t="str">
        <f>HYPERLINK("https://pbs.twimg.com/profile_images/703281161922080768/GO5AaCR2.jpg","View")</f>
        <v>View</v>
      </c>
    </row>
    <row r="249" spans="1:21" ht="61.2">
      <c r="A249" s="6">
        <v>43425.714131944449</v>
      </c>
      <c r="B249" s="7" t="str">
        <f>HYPERLINK("https://twitter.com/vox_es","@vox_es")</f>
        <v>@vox_es</v>
      </c>
      <c r="C249" s="8" t="s">
        <v>689</v>
      </c>
      <c r="D249" s="9" t="s">
        <v>990</v>
      </c>
      <c r="E249" s="10" t="str">
        <f>HYPERLINK("https://twitter.com/vox_es/status/1065275735181529093","1065275735181529093")</f>
        <v>1065275735181529093</v>
      </c>
      <c r="F249" s="12"/>
      <c r="G249" s="11" t="s">
        <v>991</v>
      </c>
      <c r="H249" s="12"/>
      <c r="I249" s="13">
        <v>543</v>
      </c>
      <c r="J249" s="13">
        <v>1072</v>
      </c>
      <c r="K249" s="14" t="str">
        <f>HYPERLINK("http://twitter.com","Twitter Web Client")</f>
        <v>Twitter Web Client</v>
      </c>
      <c r="L249" s="13">
        <v>122548</v>
      </c>
      <c r="M249" s="13">
        <v>915</v>
      </c>
      <c r="N249" s="13">
        <v>919</v>
      </c>
      <c r="O249" s="23" t="s">
        <v>186</v>
      </c>
      <c r="P249" s="6">
        <v>41596.746655092589</v>
      </c>
      <c r="Q249" s="12"/>
      <c r="R249" s="17" t="s">
        <v>694</v>
      </c>
      <c r="S249" s="11" t="s">
        <v>187</v>
      </c>
      <c r="T249" s="12"/>
      <c r="U249" s="10" t="str">
        <f>HYPERLINK("https://pbs.twimg.com/profile_images/1016653788617363456/m3b3jqW5.jpg","View")</f>
        <v>View</v>
      </c>
    </row>
    <row r="250" spans="1:21" ht="20.399999999999999">
      <c r="A250" s="6">
        <v>43425.704016203701</v>
      </c>
      <c r="B250" s="7" t="str">
        <f>HYPERLINK("https://twitter.com/JavierCarmonaR2","@JavierCarmonaR2")</f>
        <v>@JavierCarmonaR2</v>
      </c>
      <c r="C250" s="8" t="s">
        <v>992</v>
      </c>
      <c r="D250" s="9" t="s">
        <v>993</v>
      </c>
      <c r="E250" s="10" t="str">
        <f>HYPERLINK("https://twitter.com/JavierCarmonaR2/status/1065272066767810560","1065272066767810560")</f>
        <v>1065272066767810560</v>
      </c>
      <c r="F250" s="11" t="s">
        <v>540</v>
      </c>
      <c r="G250" s="11" t="s">
        <v>542</v>
      </c>
      <c r="H250" s="12"/>
      <c r="I250" s="13">
        <v>0</v>
      </c>
      <c r="J250" s="13">
        <v>5</v>
      </c>
      <c r="K250" s="14" t="str">
        <f>HYPERLINK("http://twitter.com/download/android","Twitter for Android")</f>
        <v>Twitter for Android</v>
      </c>
      <c r="L250" s="13">
        <v>62</v>
      </c>
      <c r="M250" s="13">
        <v>269</v>
      </c>
      <c r="N250" s="13">
        <v>0</v>
      </c>
      <c r="O250" s="15"/>
      <c r="P250" s="6">
        <v>43317.739965277782</v>
      </c>
      <c r="Q250" s="12"/>
      <c r="R250" s="17" t="s">
        <v>994</v>
      </c>
      <c r="S250" s="12"/>
      <c r="T250" s="12"/>
      <c r="U250" s="10" t="str">
        <f>HYPERLINK("https://pbs.twimg.com/profile_images/1026135622451384323/OC00UVhP.jpg","View")</f>
        <v>View</v>
      </c>
    </row>
    <row r="251" spans="1:21" ht="51">
      <c r="A251" s="6">
        <v>43425.703043981484</v>
      </c>
      <c r="B251" s="7" t="str">
        <f>HYPERLINK("https://twitter.com/vox_es","@vox_es")</f>
        <v>@vox_es</v>
      </c>
      <c r="C251" s="8" t="s">
        <v>689</v>
      </c>
      <c r="D251" s="9" t="s">
        <v>995</v>
      </c>
      <c r="E251" s="10" t="str">
        <f>HYPERLINK("https://twitter.com/vox_es/status/1065271715872337921","1065271715872337921")</f>
        <v>1065271715872337921</v>
      </c>
      <c r="F251" s="12"/>
      <c r="G251" s="11" t="s">
        <v>996</v>
      </c>
      <c r="H251" s="12"/>
      <c r="I251" s="13">
        <v>210</v>
      </c>
      <c r="J251" s="13">
        <v>326</v>
      </c>
      <c r="K251" s="14" t="str">
        <f>HYPERLINK("http://twitter.com","Twitter Web Client")</f>
        <v>Twitter Web Client</v>
      </c>
      <c r="L251" s="13">
        <v>122548</v>
      </c>
      <c r="M251" s="13">
        <v>915</v>
      </c>
      <c r="N251" s="13">
        <v>919</v>
      </c>
      <c r="O251" s="23" t="s">
        <v>186</v>
      </c>
      <c r="P251" s="6">
        <v>41596.746655092589</v>
      </c>
      <c r="Q251" s="12"/>
      <c r="R251" s="17" t="s">
        <v>694</v>
      </c>
      <c r="S251" s="11" t="s">
        <v>187</v>
      </c>
      <c r="T251" s="12"/>
      <c r="U251" s="10" t="str">
        <f>HYPERLINK("https://pbs.twimg.com/profile_images/1016653788617363456/m3b3jqW5.jpg","View")</f>
        <v>View</v>
      </c>
    </row>
    <row r="252" spans="1:21" ht="102">
      <c r="A252" s="6">
        <v>43425.700555555552</v>
      </c>
      <c r="B252" s="7" t="str">
        <f t="shared" ref="B252:B253" si="95">HYPERLINK("https://twitter.com/UlisesGamez10","@UlisesGamez10")</f>
        <v>@UlisesGamez10</v>
      </c>
      <c r="C252" s="8" t="s">
        <v>23</v>
      </c>
      <c r="D252" s="9" t="s">
        <v>997</v>
      </c>
      <c r="E252" s="10" t="str">
        <f>HYPERLINK("https://twitter.com/UlisesGamez10/status/1065270815632097281","1065270815632097281")</f>
        <v>1065270815632097281</v>
      </c>
      <c r="F252" s="11" t="s">
        <v>998</v>
      </c>
      <c r="G252" s="11" t="s">
        <v>999</v>
      </c>
      <c r="H252" s="12"/>
      <c r="I252" s="13">
        <v>3</v>
      </c>
      <c r="J252" s="13">
        <v>3</v>
      </c>
      <c r="K252" s="14" t="str">
        <f t="shared" ref="K252:K253" si="96">HYPERLINK("http://twitter.com/download/android","Twitter for Android")</f>
        <v>Twitter for Android</v>
      </c>
      <c r="L252" s="13">
        <v>1162</v>
      </c>
      <c r="M252" s="13">
        <v>5000</v>
      </c>
      <c r="N252" s="13">
        <v>0</v>
      </c>
      <c r="O252" s="15"/>
      <c r="P252" s="6">
        <v>43190.59783564815</v>
      </c>
      <c r="Q252" s="16" t="s">
        <v>25</v>
      </c>
      <c r="R252" s="17" t="s">
        <v>27</v>
      </c>
      <c r="S252" s="12"/>
      <c r="T252" s="12"/>
      <c r="U252" s="10" t="str">
        <f t="shared" ref="U252:U253" si="97">HYPERLINK("https://pbs.twimg.com/profile_images/1031158722586980352/ItGPtjBj.jpg","View")</f>
        <v>View</v>
      </c>
    </row>
    <row r="253" spans="1:21" ht="61.2">
      <c r="A253" s="6">
        <v>43425.697557870371</v>
      </c>
      <c r="B253" s="7" t="str">
        <f t="shared" si="95"/>
        <v>@UlisesGamez10</v>
      </c>
      <c r="C253" s="8" t="s">
        <v>23</v>
      </c>
      <c r="D253" s="9" t="s">
        <v>1000</v>
      </c>
      <c r="E253" s="10" t="str">
        <f>HYPERLINK("https://twitter.com/UlisesGamez10/status/1065269726220349440","1065269726220349440")</f>
        <v>1065269726220349440</v>
      </c>
      <c r="F253" s="12"/>
      <c r="G253" s="12"/>
      <c r="H253" s="12"/>
      <c r="I253" s="13">
        <v>0</v>
      </c>
      <c r="J253" s="13">
        <v>0</v>
      </c>
      <c r="K253" s="14" t="str">
        <f t="shared" si="96"/>
        <v>Twitter for Android</v>
      </c>
      <c r="L253" s="13">
        <v>1162</v>
      </c>
      <c r="M253" s="13">
        <v>5000</v>
      </c>
      <c r="N253" s="13">
        <v>0</v>
      </c>
      <c r="O253" s="15"/>
      <c r="P253" s="6">
        <v>43190.59783564815</v>
      </c>
      <c r="Q253" s="16" t="s">
        <v>25</v>
      </c>
      <c r="R253" s="17" t="s">
        <v>27</v>
      </c>
      <c r="S253" s="12"/>
      <c r="T253" s="12"/>
      <c r="U253" s="10" t="str">
        <f t="shared" si="97"/>
        <v>View</v>
      </c>
    </row>
    <row r="254" spans="1:21" ht="91.8">
      <c r="A254" s="6">
        <v>43425.697118055556</v>
      </c>
      <c r="B254" s="7" t="str">
        <f>HYPERLINK("https://twitter.com/SergiogmSergio","@SergiogmSergio")</f>
        <v>@SergiogmSergio</v>
      </c>
      <c r="C254" s="8" t="s">
        <v>1001</v>
      </c>
      <c r="D254" s="9" t="s">
        <v>1002</v>
      </c>
      <c r="E254" s="10" t="str">
        <f>HYPERLINK("https://twitter.com/SergiogmSergio/status/1065269566572560384","1065269566572560384")</f>
        <v>1065269566572560384</v>
      </c>
      <c r="F254" s="16" t="s">
        <v>1003</v>
      </c>
      <c r="G254" s="11" t="s">
        <v>1004</v>
      </c>
      <c r="H254" s="12"/>
      <c r="I254" s="13">
        <v>0</v>
      </c>
      <c r="J254" s="13">
        <v>0</v>
      </c>
      <c r="K254" s="14" t="str">
        <f>HYPERLINK("http://twitter.com/download/iphone","Twitter for iPhone")</f>
        <v>Twitter for iPhone</v>
      </c>
      <c r="L254" s="13">
        <v>108</v>
      </c>
      <c r="M254" s="13">
        <v>290</v>
      </c>
      <c r="N254" s="13">
        <v>0</v>
      </c>
      <c r="O254" s="15"/>
      <c r="P254" s="6">
        <v>42071.631851851853</v>
      </c>
      <c r="Q254" s="12"/>
      <c r="R254" s="17" t="s">
        <v>1005</v>
      </c>
      <c r="S254" s="12"/>
      <c r="T254" s="12"/>
      <c r="U254" s="10" t="str">
        <f>HYPERLINK("https://pbs.twimg.com/profile_images/759914683843252224/gGYuI175.jpg","View")</f>
        <v>View</v>
      </c>
    </row>
    <row r="255" spans="1:21" ht="112.2">
      <c r="A255" s="6">
        <v>43425.688634259262</v>
      </c>
      <c r="B255" s="7" t="str">
        <f>HYPERLINK("https://twitter.com/UlisesGamez10","@UlisesGamez10")</f>
        <v>@UlisesGamez10</v>
      </c>
      <c r="C255" s="8" t="s">
        <v>23</v>
      </c>
      <c r="D255" s="9" t="s">
        <v>1006</v>
      </c>
      <c r="E255" s="10" t="str">
        <f>HYPERLINK("https://twitter.com/UlisesGamez10/status/1065266493972197377","1065266493972197377")</f>
        <v>1065266493972197377</v>
      </c>
      <c r="F255" s="11" t="s">
        <v>1007</v>
      </c>
      <c r="G255" s="11" t="s">
        <v>1008</v>
      </c>
      <c r="H255" s="12"/>
      <c r="I255" s="13">
        <v>0</v>
      </c>
      <c r="J255" s="13">
        <v>1</v>
      </c>
      <c r="K255" s="14" t="str">
        <f t="shared" ref="K255:K258" si="98">HYPERLINK("http://twitter.com/download/android","Twitter for Android")</f>
        <v>Twitter for Android</v>
      </c>
      <c r="L255" s="13">
        <v>1162</v>
      </c>
      <c r="M255" s="13">
        <v>5000</v>
      </c>
      <c r="N255" s="13">
        <v>0</v>
      </c>
      <c r="O255" s="15"/>
      <c r="P255" s="6">
        <v>43190.59783564815</v>
      </c>
      <c r="Q255" s="16" t="s">
        <v>25</v>
      </c>
      <c r="R255" s="17" t="s">
        <v>27</v>
      </c>
      <c r="S255" s="12"/>
      <c r="T255" s="12"/>
      <c r="U255" s="10" t="str">
        <f>HYPERLINK("https://pbs.twimg.com/profile_images/1031158722586980352/ItGPtjBj.jpg","View")</f>
        <v>View</v>
      </c>
    </row>
    <row r="256" spans="1:21" ht="51">
      <c r="A256" s="6">
        <v>43425.686319444445</v>
      </c>
      <c r="B256" s="7" t="str">
        <f>HYPERLINK("https://twitter.com/RicardoLatorreC","@RicardoLatorreC")</f>
        <v>@RicardoLatorreC</v>
      </c>
      <c r="C256" s="8" t="s">
        <v>1009</v>
      </c>
      <c r="D256" s="9" t="s">
        <v>1010</v>
      </c>
      <c r="E256" s="10" t="str">
        <f>HYPERLINK("https://twitter.com/RicardoLatorreC/status/1065265654943621121","1065265654943621121")</f>
        <v>1065265654943621121</v>
      </c>
      <c r="F256" s="11" t="s">
        <v>1011</v>
      </c>
      <c r="G256" s="12"/>
      <c r="H256" s="12"/>
      <c r="I256" s="13">
        <v>5</v>
      </c>
      <c r="J256" s="13">
        <v>8</v>
      </c>
      <c r="K256" s="14" t="str">
        <f t="shared" si="98"/>
        <v>Twitter for Android</v>
      </c>
      <c r="L256" s="13">
        <v>11487</v>
      </c>
      <c r="M256" s="13">
        <v>88</v>
      </c>
      <c r="N256" s="13">
        <v>72</v>
      </c>
      <c r="O256" s="15"/>
      <c r="P256" s="6">
        <v>40943.609444444446</v>
      </c>
      <c r="Q256" s="12"/>
      <c r="R256" s="17" t="s">
        <v>1012</v>
      </c>
      <c r="S256" s="11" t="s">
        <v>1013</v>
      </c>
      <c r="T256" s="12"/>
      <c r="U256" s="10" t="str">
        <f>HYPERLINK("https://pbs.twimg.com/profile_images/653955776655048704/CgviQonI.png","View")</f>
        <v>View</v>
      </c>
    </row>
    <row r="257" spans="1:21" ht="30.6">
      <c r="A257" s="6">
        <v>43425.674583333333</v>
      </c>
      <c r="B257" s="7" t="str">
        <f>HYPERLINK("https://twitter.com/alba__n","@alba__n")</f>
        <v>@alba__n</v>
      </c>
      <c r="C257" s="8" t="s">
        <v>1201</v>
      </c>
      <c r="D257" s="9" t="s">
        <v>1203</v>
      </c>
      <c r="E257" s="10" t="str">
        <f>HYPERLINK("https://twitter.com/alba__n/status/1065261403710337024","1065261403710337024")</f>
        <v>1065261403710337024</v>
      </c>
      <c r="F257" s="11" t="s">
        <v>540</v>
      </c>
      <c r="G257" s="11" t="s">
        <v>542</v>
      </c>
      <c r="H257" s="12"/>
      <c r="I257" s="13">
        <v>0</v>
      </c>
      <c r="J257" s="13">
        <v>0</v>
      </c>
      <c r="K257" s="14" t="str">
        <f t="shared" si="98"/>
        <v>Twitter for Android</v>
      </c>
      <c r="L257" s="13">
        <v>552</v>
      </c>
      <c r="M257" s="13">
        <v>379</v>
      </c>
      <c r="N257" s="13">
        <v>4</v>
      </c>
      <c r="O257" s="15"/>
      <c r="P257" s="6">
        <v>40919.635081018518</v>
      </c>
      <c r="Q257" s="12"/>
      <c r="R257" s="26" t="s">
        <v>1208</v>
      </c>
      <c r="S257" s="12"/>
      <c r="T257" s="12"/>
      <c r="U257" s="10" t="str">
        <f>HYPERLINK("https://pbs.twimg.com/profile_images/1065258416225099782/iSQb5PtE.jpg","View")</f>
        <v>View</v>
      </c>
    </row>
    <row r="258" spans="1:21" ht="51">
      <c r="A258" s="6">
        <v>43425.672812500001</v>
      </c>
      <c r="B258" s="7" t="str">
        <f>HYPERLINK("https://twitter.com/UlisesGamez10","@UlisesGamez10")</f>
        <v>@UlisesGamez10</v>
      </c>
      <c r="C258" s="8" t="s">
        <v>23</v>
      </c>
      <c r="D258" s="9" t="s">
        <v>1014</v>
      </c>
      <c r="E258" s="10" t="str">
        <f>HYPERLINK("https://twitter.com/UlisesGamez10/status/1065260760627068929","1065260760627068929")</f>
        <v>1065260760627068929</v>
      </c>
      <c r="F258" s="12"/>
      <c r="G258" s="12"/>
      <c r="H258" s="12"/>
      <c r="I258" s="13">
        <v>0</v>
      </c>
      <c r="J258" s="13">
        <v>0</v>
      </c>
      <c r="K258" s="14" t="str">
        <f t="shared" si="98"/>
        <v>Twitter for Android</v>
      </c>
      <c r="L258" s="13">
        <v>1162</v>
      </c>
      <c r="M258" s="13">
        <v>5000</v>
      </c>
      <c r="N258" s="13">
        <v>0</v>
      </c>
      <c r="O258" s="15"/>
      <c r="P258" s="6">
        <v>43190.59783564815</v>
      </c>
      <c r="Q258" s="16" t="s">
        <v>25</v>
      </c>
      <c r="R258" s="17" t="s">
        <v>27</v>
      </c>
      <c r="S258" s="12"/>
      <c r="T258" s="12"/>
      <c r="U258" s="10" t="str">
        <f>HYPERLINK("https://pbs.twimg.com/profile_images/1031158722586980352/ItGPtjBj.jpg","View")</f>
        <v>View</v>
      </c>
    </row>
    <row r="259" spans="1:21" ht="51">
      <c r="A259" s="6">
        <v>43425.660173611112</v>
      </c>
      <c r="B259" s="7" t="str">
        <f>HYPERLINK("https://twitter.com/CasoAislado_Es","@CasoAislado_Es")</f>
        <v>@CasoAislado_Es</v>
      </c>
      <c r="C259" s="8" t="s">
        <v>530</v>
      </c>
      <c r="D259" s="9" t="s">
        <v>1015</v>
      </c>
      <c r="E259" s="10" t="str">
        <f>HYPERLINK("https://twitter.com/CasoAislado_Es/status/1065256181726351361","1065256181726351361")</f>
        <v>1065256181726351361</v>
      </c>
      <c r="F259" s="11" t="s">
        <v>1016</v>
      </c>
      <c r="G259" s="12"/>
      <c r="H259" s="12"/>
      <c r="I259" s="13">
        <v>306</v>
      </c>
      <c r="J259" s="13">
        <v>610</v>
      </c>
      <c r="K259" s="14" t="str">
        <f>HYPERLINK("http://twitter.com","Twitter Web Client")</f>
        <v>Twitter Web Client</v>
      </c>
      <c r="L259" s="13">
        <v>20849</v>
      </c>
      <c r="M259" s="13">
        <v>6396</v>
      </c>
      <c r="N259" s="13">
        <v>145</v>
      </c>
      <c r="O259" s="15"/>
      <c r="P259" s="6">
        <v>40257.560439814813</v>
      </c>
      <c r="Q259" s="16" t="s">
        <v>533</v>
      </c>
      <c r="R259" s="17" t="s">
        <v>534</v>
      </c>
      <c r="S259" s="11" t="s">
        <v>535</v>
      </c>
      <c r="T259" s="12"/>
      <c r="U259" s="10" t="str">
        <f>HYPERLINK("https://pbs.twimg.com/profile_images/818503412702707713/QK1J8CEn.jpg","View")</f>
        <v>View</v>
      </c>
    </row>
    <row r="260" spans="1:21" ht="40.799999999999997">
      <c r="A260" s="6">
        <v>43425.65420138889</v>
      </c>
      <c r="B260" s="7" t="str">
        <f>HYPERLINK("https://twitter.com/akaNuevo","@akaNuevo")</f>
        <v>@akaNuevo</v>
      </c>
      <c r="C260" s="8" t="s">
        <v>1220</v>
      </c>
      <c r="D260" s="9" t="s">
        <v>1221</v>
      </c>
      <c r="E260" s="10" t="str">
        <f>HYPERLINK("https://twitter.com/akaNuevo/status/1065254015645167617","1065254015645167617")</f>
        <v>1065254015645167617</v>
      </c>
      <c r="F260" s="11" t="s">
        <v>540</v>
      </c>
      <c r="G260" s="11" t="s">
        <v>542</v>
      </c>
      <c r="H260" s="12"/>
      <c r="I260" s="13">
        <v>2</v>
      </c>
      <c r="J260" s="13">
        <v>5</v>
      </c>
      <c r="K260" s="14" t="str">
        <f>HYPERLINK("http://twitter.com/download/android","Twitter for Android")</f>
        <v>Twitter for Android</v>
      </c>
      <c r="L260" s="13">
        <v>399</v>
      </c>
      <c r="M260" s="13">
        <v>500</v>
      </c>
      <c r="N260" s="13">
        <v>2</v>
      </c>
      <c r="O260" s="15"/>
      <c r="P260" s="6">
        <v>41353.641053240739</v>
      </c>
      <c r="Q260" s="16" t="s">
        <v>1226</v>
      </c>
      <c r="R260" s="17" t="s">
        <v>1228</v>
      </c>
      <c r="S260" s="11" t="s">
        <v>1230</v>
      </c>
      <c r="T260" s="12"/>
      <c r="U260" s="10" t="str">
        <f>HYPERLINK("https://pbs.twimg.com/profile_images/1054341405542400000/8f2_NrGt.jpg","View")</f>
        <v>View</v>
      </c>
    </row>
    <row r="261" spans="1:21" ht="20.399999999999999">
      <c r="A261" s="6">
        <v>43425.650972222225</v>
      </c>
      <c r="B261" s="7" t="str">
        <f>HYPERLINK("https://twitter.com/negativo_stats","@negativo_stats")</f>
        <v>@negativo_stats</v>
      </c>
      <c r="C261" s="8" t="s">
        <v>41</v>
      </c>
      <c r="D261" s="9" t="s">
        <v>42</v>
      </c>
      <c r="E261" s="10" t="str">
        <f>HYPERLINK("https://twitter.com/negativo_stats/status/1065252844209610752","1065252844209610752")</f>
        <v>1065252844209610752</v>
      </c>
      <c r="F261" s="12"/>
      <c r="G261" s="11" t="s">
        <v>1017</v>
      </c>
      <c r="H261" s="12"/>
      <c r="I261" s="13">
        <v>0</v>
      </c>
      <c r="J261" s="13">
        <v>0</v>
      </c>
      <c r="K261" s="14" t="str">
        <f>HYPERLINK("http://kosmonautica.es","Política Negativa")</f>
        <v>Política Negativa</v>
      </c>
      <c r="L261" s="13">
        <v>256</v>
      </c>
      <c r="M261" s="13">
        <v>694</v>
      </c>
      <c r="N261" s="13">
        <v>2</v>
      </c>
      <c r="O261" s="15"/>
      <c r="P261" s="6">
        <v>42171.770601851851</v>
      </c>
      <c r="Q261" s="16" t="s">
        <v>44</v>
      </c>
      <c r="R261" s="17" t="s">
        <v>45</v>
      </c>
      <c r="S261" s="12"/>
      <c r="T261" s="12"/>
      <c r="U261" s="10" t="str">
        <f>HYPERLINK("https://pbs.twimg.com/profile_images/628553625984438272/e-VHyhP1.png","View")</f>
        <v>View</v>
      </c>
    </row>
    <row r="262" spans="1:21" ht="91.8">
      <c r="A262" s="6">
        <v>43425.648148148146</v>
      </c>
      <c r="B262" s="7" t="str">
        <f>HYPERLINK("https://twitter.com/Pozo_1969","@Pozo_1969")</f>
        <v>@Pozo_1969</v>
      </c>
      <c r="C262" s="8" t="s">
        <v>556</v>
      </c>
      <c r="D262" s="9" t="s">
        <v>1018</v>
      </c>
      <c r="E262" s="10" t="str">
        <f>HYPERLINK("https://twitter.com/Pozo_1969/status/1065251822410043392","1065251822410043392")</f>
        <v>1065251822410043392</v>
      </c>
      <c r="F262" s="16" t="s">
        <v>1019</v>
      </c>
      <c r="G262" s="12"/>
      <c r="H262" s="12"/>
      <c r="I262" s="13">
        <v>4</v>
      </c>
      <c r="J262" s="13">
        <v>3</v>
      </c>
      <c r="K262" s="14" t="str">
        <f t="shared" ref="K262:K265" si="99">HYPERLINK("http://twitter.com/download/android","Twitter for Android")</f>
        <v>Twitter for Android</v>
      </c>
      <c r="L262" s="13">
        <v>2102</v>
      </c>
      <c r="M262" s="13">
        <v>2137</v>
      </c>
      <c r="N262" s="13">
        <v>40</v>
      </c>
      <c r="O262" s="15"/>
      <c r="P262" s="6">
        <v>40815.401643518519</v>
      </c>
      <c r="Q262" s="12"/>
      <c r="R262" s="17" t="s">
        <v>558</v>
      </c>
      <c r="S262" s="12"/>
      <c r="T262" s="12"/>
      <c r="U262" s="10" t="str">
        <f>HYPERLINK("https://pbs.twimg.com/profile_images/844561592603824128/WgXnX2H3.jpg","View")</f>
        <v>View</v>
      </c>
    </row>
    <row r="263" spans="1:21" ht="20.399999999999999">
      <c r="A263" s="6">
        <v>43425.64466435185</v>
      </c>
      <c r="B263" s="7" t="str">
        <f>HYPERLINK("https://twitter.com/ElCalros","@ElCalros")</f>
        <v>@ElCalros</v>
      </c>
      <c r="C263" s="8" t="s">
        <v>1020</v>
      </c>
      <c r="D263" s="9" t="s">
        <v>1021</v>
      </c>
      <c r="E263" s="10" t="str">
        <f>HYPERLINK("https://twitter.com/ElCalros/status/1065250559173771264","1065250559173771264")</f>
        <v>1065250559173771264</v>
      </c>
      <c r="F263" s="12"/>
      <c r="G263" s="11" t="s">
        <v>1022</v>
      </c>
      <c r="H263" s="12"/>
      <c r="I263" s="13">
        <v>1</v>
      </c>
      <c r="J263" s="13">
        <v>3</v>
      </c>
      <c r="K263" s="14" t="str">
        <f t="shared" si="99"/>
        <v>Twitter for Android</v>
      </c>
      <c r="L263" s="13">
        <v>5</v>
      </c>
      <c r="M263" s="13">
        <v>2</v>
      </c>
      <c r="N263" s="13">
        <v>0</v>
      </c>
      <c r="O263" s="15"/>
      <c r="P263" s="6">
        <v>42626.698541666672</v>
      </c>
      <c r="Q263" s="12"/>
      <c r="R263" s="17" t="s">
        <v>1023</v>
      </c>
      <c r="S263" s="12"/>
      <c r="T263" s="12"/>
      <c r="U263" s="10" t="str">
        <f>HYPERLINK("https://pbs.twimg.com/profile_images/1064956319768223747/rGqsWIUx.jpg","View")</f>
        <v>View</v>
      </c>
    </row>
    <row r="264" spans="1:21" ht="20.399999999999999">
      <c r="A264" s="6">
        <v>43425.63862268519</v>
      </c>
      <c r="B264" s="7" t="str">
        <f>HYPERLINK("https://twitter.com/MairoMarron","@MairoMarron")</f>
        <v>@MairoMarron</v>
      </c>
      <c r="C264" s="8" t="s">
        <v>1024</v>
      </c>
      <c r="D264" s="9" t="s">
        <v>1025</v>
      </c>
      <c r="E264" s="10" t="str">
        <f>HYPERLINK("https://twitter.com/MairoMarron/status/1065248370246197248","1065248370246197248")</f>
        <v>1065248370246197248</v>
      </c>
      <c r="F264" s="12"/>
      <c r="G264" s="12"/>
      <c r="H264" s="12"/>
      <c r="I264" s="13">
        <v>1</v>
      </c>
      <c r="J264" s="13">
        <v>1</v>
      </c>
      <c r="K264" s="14" t="str">
        <f t="shared" si="99"/>
        <v>Twitter for Android</v>
      </c>
      <c r="L264" s="13">
        <v>46</v>
      </c>
      <c r="M264" s="13">
        <v>44</v>
      </c>
      <c r="N264" s="13">
        <v>0</v>
      </c>
      <c r="O264" s="15"/>
      <c r="P264" s="6">
        <v>41517.886932870373</v>
      </c>
      <c r="Q264" s="16" t="s">
        <v>1026</v>
      </c>
      <c r="R264" s="17" t="s">
        <v>1027</v>
      </c>
      <c r="S264" s="11" t="s">
        <v>1028</v>
      </c>
      <c r="T264" s="12"/>
      <c r="U264" s="10" t="str">
        <f>HYPERLINK("https://pbs.twimg.com/profile_images/1064955373667475457/w1SgDx0b.jpg","View")</f>
        <v>View</v>
      </c>
    </row>
    <row r="265" spans="1:21" ht="61.2">
      <c r="A265" s="6">
        <v>43425.635011574079</v>
      </c>
      <c r="B265" s="7" t="str">
        <f>HYPERLINK("https://twitter.com/RaPiqFu","@RaPiqFu")</f>
        <v>@RaPiqFu</v>
      </c>
      <c r="C265" s="8" t="s">
        <v>1029</v>
      </c>
      <c r="D265" s="9" t="s">
        <v>1030</v>
      </c>
      <c r="E265" s="10" t="str">
        <f>HYPERLINK("https://twitter.com/RaPiqFu/status/1065247061698899968","1065247061698899968")</f>
        <v>1065247061698899968</v>
      </c>
      <c r="F265" s="12"/>
      <c r="G265" s="12"/>
      <c r="H265" s="12"/>
      <c r="I265" s="13">
        <v>2</v>
      </c>
      <c r="J265" s="13">
        <v>2</v>
      </c>
      <c r="K265" s="14" t="str">
        <f t="shared" si="99"/>
        <v>Twitter for Android</v>
      </c>
      <c r="L265" s="13">
        <v>1578</v>
      </c>
      <c r="M265" s="13">
        <v>808</v>
      </c>
      <c r="N265" s="13">
        <v>21</v>
      </c>
      <c r="O265" s="15"/>
      <c r="P265" s="6">
        <v>40595.905127314814</v>
      </c>
      <c r="Q265" s="16" t="s">
        <v>953</v>
      </c>
      <c r="R265" s="17" t="s">
        <v>1031</v>
      </c>
      <c r="S265" s="12"/>
      <c r="T265" s="12"/>
      <c r="U265" s="10" t="str">
        <f>HYPERLINK("https://pbs.twimg.com/profile_images/1059362479975923713/VEYq9v5X.jpg","View")</f>
        <v>View</v>
      </c>
    </row>
    <row r="266" spans="1:21" ht="13.2">
      <c r="A266" s="6">
        <v>43425.630370370374</v>
      </c>
      <c r="B266" s="7" t="str">
        <f>HYPERLINK("https://twitter.com/lunadebenidorm","@lunadebenidorm")</f>
        <v>@lunadebenidorm</v>
      </c>
      <c r="C266" s="8" t="s">
        <v>106</v>
      </c>
      <c r="D266" s="9" t="s">
        <v>1032</v>
      </c>
      <c r="E266" s="10" t="str">
        <f>HYPERLINK("https://twitter.com/lunadebenidorm/status/1065245379178962946","1065245379178962946")</f>
        <v>1065245379178962946</v>
      </c>
      <c r="F266" s="12"/>
      <c r="G266" s="11" t="s">
        <v>1033</v>
      </c>
      <c r="H266" s="12"/>
      <c r="I266" s="13">
        <v>0</v>
      </c>
      <c r="J266" s="13">
        <v>0</v>
      </c>
      <c r="K266" s="14" t="str">
        <f>HYPERLINK("http://twitter.com","Twitter Web Client")</f>
        <v>Twitter Web Client</v>
      </c>
      <c r="L266" s="13">
        <v>3991</v>
      </c>
      <c r="M266" s="13">
        <v>3978</v>
      </c>
      <c r="N266" s="13">
        <v>79</v>
      </c>
      <c r="O266" s="15"/>
      <c r="P266" s="6">
        <v>41461.81186342593</v>
      </c>
      <c r="Q266" s="12"/>
      <c r="R266" s="17" t="s">
        <v>108</v>
      </c>
      <c r="S266" s="12"/>
      <c r="T266" s="12"/>
      <c r="U266" s="10" t="str">
        <f>HYPERLINK("https://pbs.twimg.com/profile_images/1061229593758257153/rePCQt08.jpg","View")</f>
        <v>View</v>
      </c>
    </row>
    <row r="267" spans="1:21" ht="30.6">
      <c r="A267" s="6">
        <v>43425.620497685188</v>
      </c>
      <c r="B267" s="7" t="str">
        <f>HYPERLINK("https://twitter.com/Muruburoso","@Muruburoso")</f>
        <v>@Muruburoso</v>
      </c>
      <c r="C267" s="8" t="s">
        <v>1034</v>
      </c>
      <c r="D267" s="9" t="s">
        <v>1035</v>
      </c>
      <c r="E267" s="10" t="str">
        <f>HYPERLINK("https://twitter.com/Muruburoso/status/1065241800460460032","1065241800460460032")</f>
        <v>1065241800460460032</v>
      </c>
      <c r="F267" s="12"/>
      <c r="G267" s="12"/>
      <c r="H267" s="12"/>
      <c r="I267" s="13">
        <v>0</v>
      </c>
      <c r="J267" s="13">
        <v>0</v>
      </c>
      <c r="K267" s="14" t="str">
        <f t="shared" ref="K267:K268" si="100">HYPERLINK("http://twitter.com/download/android","Twitter for Android")</f>
        <v>Twitter for Android</v>
      </c>
      <c r="L267" s="13">
        <v>451</v>
      </c>
      <c r="M267" s="13">
        <v>223</v>
      </c>
      <c r="N267" s="13">
        <v>33</v>
      </c>
      <c r="O267" s="15"/>
      <c r="P267" s="6">
        <v>40660.429247685184</v>
      </c>
      <c r="Q267" s="16" t="s">
        <v>1036</v>
      </c>
      <c r="R267" s="17" t="s">
        <v>1037</v>
      </c>
      <c r="S267" s="12"/>
      <c r="T267" s="12"/>
      <c r="U267" s="10" t="str">
        <f>HYPERLINK("https://pbs.twimg.com/profile_images/952919426793426944/wMaxnY63.jpg","View")</f>
        <v>View</v>
      </c>
    </row>
    <row r="268" spans="1:21" ht="20.399999999999999">
      <c r="A268" s="6">
        <v>43425.612997685181</v>
      </c>
      <c r="B268" s="7" t="str">
        <f>HYPERLINK("https://twitter.com/Goico_","@Goico_")</f>
        <v>@Goico_</v>
      </c>
      <c r="C268" s="8" t="s">
        <v>1038</v>
      </c>
      <c r="D268" s="9" t="s">
        <v>1039</v>
      </c>
      <c r="E268" s="10" t="str">
        <f>HYPERLINK("https://twitter.com/Goico_/status/1065239085831327744","1065239085831327744")</f>
        <v>1065239085831327744</v>
      </c>
      <c r="F268" s="12"/>
      <c r="G268" s="12"/>
      <c r="H268" s="12"/>
      <c r="I268" s="13">
        <v>0</v>
      </c>
      <c r="J268" s="13">
        <v>0</v>
      </c>
      <c r="K268" s="14" t="str">
        <f t="shared" si="100"/>
        <v>Twitter for Android</v>
      </c>
      <c r="L268" s="13">
        <v>618</v>
      </c>
      <c r="M268" s="13">
        <v>1209</v>
      </c>
      <c r="N268" s="13">
        <v>8</v>
      </c>
      <c r="O268" s="15"/>
      <c r="P268" s="6">
        <v>41171.058368055557</v>
      </c>
      <c r="Q268" s="16" t="s">
        <v>1040</v>
      </c>
      <c r="R268" s="17" t="s">
        <v>1041</v>
      </c>
      <c r="S268" s="12"/>
      <c r="T268" s="12"/>
      <c r="U268" s="10" t="str">
        <f>HYPERLINK("https://pbs.twimg.com/profile_images/1062430045136973827/36nC-rB0.jpg","View")</f>
        <v>View</v>
      </c>
    </row>
    <row r="269" spans="1:21" ht="30.6">
      <c r="A269" s="6">
        <v>43425.611770833333</v>
      </c>
      <c r="B269" s="7" t="str">
        <f>HYPERLINK("https://twitter.com/JuangaranLex","@JuangaranLex")</f>
        <v>@JuangaranLex</v>
      </c>
      <c r="C269" s="8" t="s">
        <v>1042</v>
      </c>
      <c r="D269" s="9" t="s">
        <v>1043</v>
      </c>
      <c r="E269" s="10" t="str">
        <f>HYPERLINK("https://twitter.com/JuangaranLex/status/1065238638915661826","1065238638915661826")</f>
        <v>1065238638915661826</v>
      </c>
      <c r="F269" s="12"/>
      <c r="G269" s="12"/>
      <c r="H269" s="12"/>
      <c r="I269" s="13">
        <v>0</v>
      </c>
      <c r="J269" s="13">
        <v>0</v>
      </c>
      <c r="K269" s="14" t="str">
        <f>HYPERLINK("http://twitter.com/download/iphone","Twitter for iPhone")</f>
        <v>Twitter for iPhone</v>
      </c>
      <c r="L269" s="13">
        <v>198</v>
      </c>
      <c r="M269" s="13">
        <v>473</v>
      </c>
      <c r="N269" s="13">
        <v>8</v>
      </c>
      <c r="O269" s="15"/>
      <c r="P269" s="6">
        <v>40472.879664351851</v>
      </c>
      <c r="Q269" s="16" t="s">
        <v>66</v>
      </c>
      <c r="R269" s="17" t="s">
        <v>1045</v>
      </c>
      <c r="S269" s="12"/>
      <c r="T269" s="12"/>
      <c r="U269" s="10" t="str">
        <f>HYPERLINK("https://pbs.twimg.com/profile_images/1054395103664656385/cz5Qs5yM.jpg","View")</f>
        <v>View</v>
      </c>
    </row>
    <row r="270" spans="1:21" ht="30.6">
      <c r="A270" s="6">
        <v>43425.609791666662</v>
      </c>
      <c r="B270" s="7" t="str">
        <f>HYPERLINK("https://twitter.com/daniferfab","@daniferfab")</f>
        <v>@daniferfab</v>
      </c>
      <c r="C270" s="8" t="s">
        <v>1048</v>
      </c>
      <c r="D270" s="9" t="s">
        <v>1049</v>
      </c>
      <c r="E270" s="10" t="str">
        <f>HYPERLINK("https://twitter.com/daniferfab/status/1065237921920360451","1065237921920360451")</f>
        <v>1065237921920360451</v>
      </c>
      <c r="F270" s="12"/>
      <c r="G270" s="12"/>
      <c r="H270" s="12"/>
      <c r="I270" s="13">
        <v>0</v>
      </c>
      <c r="J270" s="13">
        <v>0</v>
      </c>
      <c r="K270" s="14" t="str">
        <f t="shared" ref="K270:K272" si="101">HYPERLINK("http://twitter.com/download/android","Twitter for Android")</f>
        <v>Twitter for Android</v>
      </c>
      <c r="L270" s="13">
        <v>1182</v>
      </c>
      <c r="M270" s="13">
        <v>1449</v>
      </c>
      <c r="N270" s="13">
        <v>13</v>
      </c>
      <c r="O270" s="15"/>
      <c r="P270" s="6">
        <v>40531.983298611114</v>
      </c>
      <c r="Q270" s="16" t="s">
        <v>1050</v>
      </c>
      <c r="R270" s="17" t="s">
        <v>1051</v>
      </c>
      <c r="S270" s="12"/>
      <c r="T270" s="12"/>
      <c r="U270" s="10" t="str">
        <f>HYPERLINK("https://pbs.twimg.com/profile_images/1054264908546822144/2KtQULFQ.jpg","View")</f>
        <v>View</v>
      </c>
    </row>
    <row r="271" spans="1:21" ht="40.799999999999997">
      <c r="A271" s="6">
        <v>43425.607638888891</v>
      </c>
      <c r="B271" s="7" t="str">
        <f>HYPERLINK("https://twitter.com/clubdeviernes","@clubdeviernes")</f>
        <v>@clubdeviernes</v>
      </c>
      <c r="C271" s="8" t="s">
        <v>1052</v>
      </c>
      <c r="D271" s="9" t="s">
        <v>1053</v>
      </c>
      <c r="E271" s="10" t="str">
        <f>HYPERLINK("https://twitter.com/clubdeviernes/status/1065237141112930304","1065237141112930304")</f>
        <v>1065237141112930304</v>
      </c>
      <c r="F271" s="12"/>
      <c r="G271" s="12"/>
      <c r="H271" s="12"/>
      <c r="I271" s="13">
        <v>11</v>
      </c>
      <c r="J271" s="13">
        <v>23</v>
      </c>
      <c r="K271" s="14" t="str">
        <f t="shared" si="101"/>
        <v>Twitter for Android</v>
      </c>
      <c r="L271" s="13">
        <v>53475</v>
      </c>
      <c r="M271" s="13">
        <v>11368</v>
      </c>
      <c r="N271" s="13">
        <v>574</v>
      </c>
      <c r="O271" s="23" t="s">
        <v>186</v>
      </c>
      <c r="P271" s="6">
        <v>42001.706365740742</v>
      </c>
      <c r="Q271" s="16" t="s">
        <v>66</v>
      </c>
      <c r="R271" s="17" t="s">
        <v>1054</v>
      </c>
      <c r="S271" s="11" t="s">
        <v>1055</v>
      </c>
      <c r="T271" s="12"/>
      <c r="U271" s="10" t="str">
        <f>HYPERLINK("https://pbs.twimg.com/profile_images/1050461122363609088/CI9sSBYY.jpg","View")</f>
        <v>View</v>
      </c>
    </row>
    <row r="272" spans="1:21" ht="20.399999999999999">
      <c r="A272" s="6">
        <v>43425.606400462959</v>
      </c>
      <c r="B272" s="7" t="str">
        <f>HYPERLINK("https://twitter.com/ERDEJEREZ","@ERDEJEREZ")</f>
        <v>@ERDEJEREZ</v>
      </c>
      <c r="C272" s="8" t="s">
        <v>188</v>
      </c>
      <c r="D272" s="9" t="s">
        <v>1056</v>
      </c>
      <c r="E272" s="10" t="str">
        <f>HYPERLINK("https://twitter.com/ERDEJEREZ/status/1065236691760414727","1065236691760414727")</f>
        <v>1065236691760414727</v>
      </c>
      <c r="F272" s="12"/>
      <c r="G272" s="11" t="s">
        <v>1057</v>
      </c>
      <c r="H272" s="12"/>
      <c r="I272" s="13">
        <v>0</v>
      </c>
      <c r="J272" s="13">
        <v>0</v>
      </c>
      <c r="K272" s="14" t="str">
        <f t="shared" si="101"/>
        <v>Twitter for Android</v>
      </c>
      <c r="L272" s="13">
        <v>150</v>
      </c>
      <c r="M272" s="13">
        <v>142</v>
      </c>
      <c r="N272" s="13">
        <v>1</v>
      </c>
      <c r="O272" s="15"/>
      <c r="P272" s="6">
        <v>40356.838599537034</v>
      </c>
      <c r="Q272" s="12"/>
      <c r="R272" s="17" t="s">
        <v>1058</v>
      </c>
      <c r="S272" s="12"/>
      <c r="T272" s="12"/>
      <c r="U272" s="10" t="str">
        <f>HYPERLINK("https://pbs.twimg.com/profile_images/1025909586568663040/b6IHq4Xi.jpg","View")</f>
        <v>View</v>
      </c>
    </row>
    <row r="273" spans="1:21" ht="61.2">
      <c r="A273" s="6">
        <v>43425.602858796294</v>
      </c>
      <c r="B273" s="7" t="str">
        <f>HYPERLINK("https://twitter.com/Elittista","@Elittista")</f>
        <v>@Elittista</v>
      </c>
      <c r="C273" s="8" t="s">
        <v>1059</v>
      </c>
      <c r="D273" s="9" t="s">
        <v>1060</v>
      </c>
      <c r="E273" s="10" t="str">
        <f>HYPERLINK("https://twitter.com/Elittista/status/1065235411784671233","1065235411784671233")</f>
        <v>1065235411784671233</v>
      </c>
      <c r="F273" s="12"/>
      <c r="G273" s="12"/>
      <c r="H273" s="12"/>
      <c r="I273" s="13">
        <v>0</v>
      </c>
      <c r="J273" s="13">
        <v>0</v>
      </c>
      <c r="K273" s="14" t="str">
        <f>HYPERLINK("http://twitter.com/download/iphone","Twitter for iPhone")</f>
        <v>Twitter for iPhone</v>
      </c>
      <c r="L273" s="13">
        <v>430</v>
      </c>
      <c r="M273" s="13">
        <v>2392</v>
      </c>
      <c r="N273" s="13">
        <v>5</v>
      </c>
      <c r="O273" s="15"/>
      <c r="P273" s="6">
        <v>42683.798460648148</v>
      </c>
      <c r="Q273" s="16" t="s">
        <v>66</v>
      </c>
      <c r="R273" s="17" t="s">
        <v>1061</v>
      </c>
      <c r="S273" s="12"/>
      <c r="T273" s="12"/>
      <c r="U273" s="10" t="str">
        <f>HYPERLINK("https://pbs.twimg.com/profile_images/1058815003556544514/dOc3pbck.jpg","View")</f>
        <v>View</v>
      </c>
    </row>
    <row r="274" spans="1:21" ht="40.799999999999997">
      <c r="A274" s="6">
        <v>43425.600729166668</v>
      </c>
      <c r="B274" s="7" t="str">
        <f>HYPERLINK("https://twitter.com/jaumeors","@jaumeors")</f>
        <v>@jaumeors</v>
      </c>
      <c r="C274" s="8" t="s">
        <v>1062</v>
      </c>
      <c r="D274" s="9" t="s">
        <v>1064</v>
      </c>
      <c r="E274" s="10" t="str">
        <f>HYPERLINK("https://twitter.com/jaumeors/status/1065234638539505665","1065234638539505665")</f>
        <v>1065234638539505665</v>
      </c>
      <c r="F274" s="11" t="s">
        <v>1066</v>
      </c>
      <c r="G274" s="12"/>
      <c r="H274" s="12"/>
      <c r="I274" s="13">
        <v>0</v>
      </c>
      <c r="J274" s="13">
        <v>0</v>
      </c>
      <c r="K274" s="14" t="str">
        <f t="shared" ref="K274:K279" si="102">HYPERLINK("http://twitter.com/download/android","Twitter for Android")</f>
        <v>Twitter for Android</v>
      </c>
      <c r="L274" s="13">
        <v>2320</v>
      </c>
      <c r="M274" s="13">
        <v>1729</v>
      </c>
      <c r="N274" s="13">
        <v>35</v>
      </c>
      <c r="O274" s="15"/>
      <c r="P274" s="6">
        <v>40804.792037037041</v>
      </c>
      <c r="Q274" s="16" t="s">
        <v>527</v>
      </c>
      <c r="R274" s="17" t="s">
        <v>1068</v>
      </c>
      <c r="S274" s="12"/>
      <c r="T274" s="12"/>
      <c r="U274" s="10" t="str">
        <f>HYPERLINK("https://pbs.twimg.com/profile_images/602277285530628097/6mVOabvQ.jpg","View")</f>
        <v>View</v>
      </c>
    </row>
    <row r="275" spans="1:21" ht="51">
      <c r="A275" s="6">
        <v>43425.580717592587</v>
      </c>
      <c r="B275" s="7" t="str">
        <f>HYPERLINK("https://twitter.com/ArtistJotaErre","@ArtistJotaErre")</f>
        <v>@ArtistJotaErre</v>
      </c>
      <c r="C275" s="8" t="s">
        <v>1315</v>
      </c>
      <c r="D275" s="9" t="s">
        <v>1316</v>
      </c>
      <c r="E275" s="10" t="str">
        <f>HYPERLINK("https://twitter.com/ArtistJotaErre/status/1065227387380645888","1065227387380645888")</f>
        <v>1065227387380645888</v>
      </c>
      <c r="F275" s="12"/>
      <c r="G275" s="12"/>
      <c r="H275" s="12"/>
      <c r="I275" s="13">
        <v>0</v>
      </c>
      <c r="J275" s="13">
        <v>1</v>
      </c>
      <c r="K275" s="14" t="str">
        <f t="shared" si="102"/>
        <v>Twitter for Android</v>
      </c>
      <c r="L275" s="13">
        <v>637</v>
      </c>
      <c r="M275" s="13">
        <v>540</v>
      </c>
      <c r="N275" s="13">
        <v>16</v>
      </c>
      <c r="O275" s="15"/>
      <c r="P275" s="6">
        <v>40854.99732638889</v>
      </c>
      <c r="Q275" s="12"/>
      <c r="R275" s="17" t="s">
        <v>1321</v>
      </c>
      <c r="S275" s="12"/>
      <c r="T275" s="12"/>
      <c r="U275" s="10" t="str">
        <f>HYPERLINK("https://pbs.twimg.com/profile_images/1052476566943469568/jfzMU6Qy.jpg","View")</f>
        <v>View</v>
      </c>
    </row>
    <row r="276" spans="1:21" ht="71.400000000000006">
      <c r="A276" s="6">
        <v>43425.578263888892</v>
      </c>
      <c r="B276" s="7" t="str">
        <f>HYPERLINK("https://twitter.com/f_r_david","@f_r_david")</f>
        <v>@f_r_david</v>
      </c>
      <c r="C276" s="8" t="s">
        <v>786</v>
      </c>
      <c r="D276" s="9" t="s">
        <v>1069</v>
      </c>
      <c r="E276" s="10" t="str">
        <f>HYPERLINK("https://twitter.com/f_r_david/status/1065226497844219905","1065226497844219905")</f>
        <v>1065226497844219905</v>
      </c>
      <c r="F276" s="11" t="s">
        <v>1070</v>
      </c>
      <c r="G276" s="11" t="s">
        <v>1071</v>
      </c>
      <c r="H276" s="12"/>
      <c r="I276" s="13">
        <v>0</v>
      </c>
      <c r="J276" s="13">
        <v>1</v>
      </c>
      <c r="K276" s="14" t="str">
        <f t="shared" si="102"/>
        <v>Twitter for Android</v>
      </c>
      <c r="L276" s="13">
        <v>42</v>
      </c>
      <c r="M276" s="13">
        <v>249</v>
      </c>
      <c r="N276" s="13">
        <v>0</v>
      </c>
      <c r="O276" s="15"/>
      <c r="P276" s="6">
        <v>40117.802650462967</v>
      </c>
      <c r="Q276" s="16" t="s">
        <v>789</v>
      </c>
      <c r="R276" s="21"/>
      <c r="S276" s="12"/>
      <c r="T276" s="12"/>
      <c r="U276" s="10" t="str">
        <f>HYPERLINK("https://pbs.twimg.com/profile_images/1027887506509967360/_wRS1tQ0.jpg","View")</f>
        <v>View</v>
      </c>
    </row>
    <row r="277" spans="1:21" ht="20.399999999999999">
      <c r="A277" s="6">
        <v>43425.560671296298</v>
      </c>
      <c r="B277" s="7" t="str">
        <f>HYPERLINK("https://twitter.com/lunadebenidorm","@lunadebenidorm")</f>
        <v>@lunadebenidorm</v>
      </c>
      <c r="C277" s="8" t="s">
        <v>106</v>
      </c>
      <c r="D277" s="9" t="s">
        <v>1072</v>
      </c>
      <c r="E277" s="10" t="str">
        <f>HYPERLINK("https://twitter.com/lunadebenidorm/status/1065220122149904385","1065220122149904385")</f>
        <v>1065220122149904385</v>
      </c>
      <c r="F277" s="11" t="s">
        <v>1073</v>
      </c>
      <c r="G277" s="12"/>
      <c r="H277" s="12"/>
      <c r="I277" s="13">
        <v>1</v>
      </c>
      <c r="J277" s="13">
        <v>0</v>
      </c>
      <c r="K277" s="14" t="str">
        <f t="shared" si="102"/>
        <v>Twitter for Android</v>
      </c>
      <c r="L277" s="13">
        <v>3991</v>
      </c>
      <c r="M277" s="13">
        <v>3978</v>
      </c>
      <c r="N277" s="13">
        <v>79</v>
      </c>
      <c r="O277" s="15"/>
      <c r="P277" s="6">
        <v>41461.81186342593</v>
      </c>
      <c r="Q277" s="12"/>
      <c r="R277" s="17" t="s">
        <v>108</v>
      </c>
      <c r="S277" s="12"/>
      <c r="T277" s="12"/>
      <c r="U277" s="10" t="str">
        <f>HYPERLINK("https://pbs.twimg.com/profile_images/1061229593758257153/rePCQt08.jpg","View")</f>
        <v>View</v>
      </c>
    </row>
    <row r="278" spans="1:21" ht="51">
      <c r="A278" s="6">
        <v>43425.553703703699</v>
      </c>
      <c r="B278" s="7" t="str">
        <f>HYPERLINK("https://twitter.com/Rmartintoros","@Rmartintoros")</f>
        <v>@Rmartintoros</v>
      </c>
      <c r="C278" s="8" t="s">
        <v>1074</v>
      </c>
      <c r="D278" s="9" t="s">
        <v>1075</v>
      </c>
      <c r="E278" s="10" t="str">
        <f>HYPERLINK("https://twitter.com/Rmartintoros/status/1065217596482600960","1065217596482600960")</f>
        <v>1065217596482600960</v>
      </c>
      <c r="F278" s="11" t="s">
        <v>1076</v>
      </c>
      <c r="G278" s="11" t="s">
        <v>1077</v>
      </c>
      <c r="H278" s="12"/>
      <c r="I278" s="13">
        <v>0</v>
      </c>
      <c r="J278" s="13">
        <v>1</v>
      </c>
      <c r="K278" s="14" t="str">
        <f t="shared" si="102"/>
        <v>Twitter for Android</v>
      </c>
      <c r="L278" s="13">
        <v>1116</v>
      </c>
      <c r="M278" s="13">
        <v>558</v>
      </c>
      <c r="N278" s="13">
        <v>23</v>
      </c>
      <c r="O278" s="15"/>
      <c r="P278" s="6">
        <v>41373.816180555557</v>
      </c>
      <c r="Q278" s="16" t="s">
        <v>1078</v>
      </c>
      <c r="R278" s="17" t="s">
        <v>1079</v>
      </c>
      <c r="S278" s="12"/>
      <c r="T278" s="12"/>
      <c r="U278" s="10" t="str">
        <f>HYPERLINK("https://pbs.twimg.com/profile_images/899550971075940352/dET050cZ.jpg","View")</f>
        <v>View</v>
      </c>
    </row>
    <row r="279" spans="1:21" ht="40.799999999999997">
      <c r="A279" s="6">
        <v>43425.546076388884</v>
      </c>
      <c r="B279" s="7" t="str">
        <f>HYPERLINK("https://twitter.com/lunadebenidorm","@lunadebenidorm")</f>
        <v>@lunadebenidorm</v>
      </c>
      <c r="C279" s="8" t="s">
        <v>106</v>
      </c>
      <c r="D279" s="9" t="s">
        <v>1080</v>
      </c>
      <c r="E279" s="10" t="str">
        <f>HYPERLINK("https://twitter.com/lunadebenidorm/status/1065214834134999040","1065214834134999040")</f>
        <v>1065214834134999040</v>
      </c>
      <c r="F279" s="12"/>
      <c r="G279" s="11" t="s">
        <v>1081</v>
      </c>
      <c r="H279" s="12"/>
      <c r="I279" s="13">
        <v>0</v>
      </c>
      <c r="J279" s="13">
        <v>0</v>
      </c>
      <c r="K279" s="14" t="str">
        <f t="shared" si="102"/>
        <v>Twitter for Android</v>
      </c>
      <c r="L279" s="13">
        <v>3991</v>
      </c>
      <c r="M279" s="13">
        <v>3978</v>
      </c>
      <c r="N279" s="13">
        <v>79</v>
      </c>
      <c r="O279" s="15"/>
      <c r="P279" s="6">
        <v>41461.81186342593</v>
      </c>
      <c r="Q279" s="12"/>
      <c r="R279" s="17" t="s">
        <v>108</v>
      </c>
      <c r="S279" s="12"/>
      <c r="T279" s="12"/>
      <c r="U279" s="10" t="str">
        <f>HYPERLINK("https://pbs.twimg.com/profile_images/1061229593758257153/rePCQt08.jpg","View")</f>
        <v>View</v>
      </c>
    </row>
    <row r="280" spans="1:21" ht="20.399999999999999">
      <c r="A280" s="6">
        <v>43425.524652777778</v>
      </c>
      <c r="B280" s="7" t="str">
        <f>HYPERLINK("https://twitter.com/luisvalmont","@luisvalmont")</f>
        <v>@luisvalmont</v>
      </c>
      <c r="C280" s="8" t="s">
        <v>1339</v>
      </c>
      <c r="D280" s="9" t="s">
        <v>1340</v>
      </c>
      <c r="E280" s="10" t="str">
        <f>HYPERLINK("https://twitter.com/luisvalmont/status/1065207068364365824","1065207068364365824")</f>
        <v>1065207068364365824</v>
      </c>
      <c r="F280" s="11" t="s">
        <v>540</v>
      </c>
      <c r="G280" s="11" t="s">
        <v>542</v>
      </c>
      <c r="H280" s="12"/>
      <c r="I280" s="13">
        <v>1</v>
      </c>
      <c r="J280" s="13">
        <v>0</v>
      </c>
      <c r="K280" s="14" t="str">
        <f>HYPERLINK("http://twitter.com","Twitter Web Client")</f>
        <v>Twitter Web Client</v>
      </c>
      <c r="L280" s="13">
        <v>386</v>
      </c>
      <c r="M280" s="13">
        <v>609</v>
      </c>
      <c r="N280" s="13">
        <v>15</v>
      </c>
      <c r="O280" s="15"/>
      <c r="P280" s="6">
        <v>40559.949467592596</v>
      </c>
      <c r="Q280" s="16" t="s">
        <v>1342</v>
      </c>
      <c r="R280" s="17" t="s">
        <v>1343</v>
      </c>
      <c r="S280" s="12"/>
      <c r="T280" s="12"/>
      <c r="U280" s="10" t="str">
        <f>HYPERLINK("https://pbs.twimg.com/profile_images/1056610842328883200/KNmLYGY-.jpg","View")</f>
        <v>View</v>
      </c>
    </row>
    <row r="281" spans="1:21" ht="20.399999999999999">
      <c r="A281" s="6">
        <v>43425.51630787037</v>
      </c>
      <c r="B281" s="7" t="str">
        <f>HYPERLINK("https://twitter.com/lunadebenidorm","@lunadebenidorm")</f>
        <v>@lunadebenidorm</v>
      </c>
      <c r="C281" s="8" t="s">
        <v>106</v>
      </c>
      <c r="D281" s="9" t="s">
        <v>1082</v>
      </c>
      <c r="E281" s="10" t="str">
        <f>HYPERLINK("https://twitter.com/lunadebenidorm/status/1065204046011817984","1065204046011817984")</f>
        <v>1065204046011817984</v>
      </c>
      <c r="F281" s="11" t="s">
        <v>1083</v>
      </c>
      <c r="G281" s="12"/>
      <c r="H281" s="12"/>
      <c r="I281" s="13">
        <v>0</v>
      </c>
      <c r="J281" s="13">
        <v>0</v>
      </c>
      <c r="K281" s="14" t="str">
        <f t="shared" ref="K281:K287" si="103">HYPERLINK("http://twitter.com/download/android","Twitter for Android")</f>
        <v>Twitter for Android</v>
      </c>
      <c r="L281" s="13">
        <v>3991</v>
      </c>
      <c r="M281" s="13">
        <v>3978</v>
      </c>
      <c r="N281" s="13">
        <v>79</v>
      </c>
      <c r="O281" s="15"/>
      <c r="P281" s="6">
        <v>41461.81186342593</v>
      </c>
      <c r="Q281" s="12"/>
      <c r="R281" s="17" t="s">
        <v>108</v>
      </c>
      <c r="S281" s="12"/>
      <c r="T281" s="12"/>
      <c r="U281" s="10" t="str">
        <f>HYPERLINK("https://pbs.twimg.com/profile_images/1061229593758257153/rePCQt08.jpg","View")</f>
        <v>View</v>
      </c>
    </row>
    <row r="282" spans="1:21" ht="91.8">
      <c r="A282" s="6">
        <v>43425.513668981483</v>
      </c>
      <c r="B282" s="7" t="str">
        <f>HYPERLINK("https://twitter.com/Feeh_Pipson","@Feeh_Pipson")</f>
        <v>@Feeh_Pipson</v>
      </c>
      <c r="C282" s="8" t="s">
        <v>1084</v>
      </c>
      <c r="D282" s="9" t="s">
        <v>1085</v>
      </c>
      <c r="E282" s="10" t="str">
        <f>HYPERLINK("https://twitter.com/Feeh_Pipson/status/1065203086988333056","1065203086988333056")</f>
        <v>1065203086988333056</v>
      </c>
      <c r="F282" s="11" t="s">
        <v>1086</v>
      </c>
      <c r="G282" s="11" t="s">
        <v>1087</v>
      </c>
      <c r="H282" s="12"/>
      <c r="I282" s="13">
        <v>0</v>
      </c>
      <c r="J282" s="13">
        <v>0</v>
      </c>
      <c r="K282" s="14" t="str">
        <f t="shared" si="103"/>
        <v>Twitter for Android</v>
      </c>
      <c r="L282" s="13">
        <v>708</v>
      </c>
      <c r="M282" s="13">
        <v>808</v>
      </c>
      <c r="N282" s="13">
        <v>10</v>
      </c>
      <c r="O282" s="15"/>
      <c r="P282" s="6">
        <v>40935.912002314813</v>
      </c>
      <c r="Q282" s="16" t="s">
        <v>1088</v>
      </c>
      <c r="R282" s="17" t="s">
        <v>1089</v>
      </c>
      <c r="S282" s="11" t="s">
        <v>1090</v>
      </c>
      <c r="T282" s="12"/>
      <c r="U282" s="10" t="str">
        <f>HYPERLINK("https://pbs.twimg.com/profile_images/1025757779154403334/td8K7dUP.jpg","View")</f>
        <v>View</v>
      </c>
    </row>
    <row r="283" spans="1:21" ht="102">
      <c r="A283" s="6">
        <v>43425.510833333334</v>
      </c>
      <c r="B283" s="7" t="str">
        <f>HYPERLINK("https://twitter.com/memeses2","@memeses2")</f>
        <v>@memeses2</v>
      </c>
      <c r="C283" s="8" t="s">
        <v>1091</v>
      </c>
      <c r="D283" s="9" t="s">
        <v>1092</v>
      </c>
      <c r="E283" s="10" t="str">
        <f>HYPERLINK("https://twitter.com/memeses2/status/1065202059098624000","1065202059098624000")</f>
        <v>1065202059098624000</v>
      </c>
      <c r="F283" s="16" t="s">
        <v>1093</v>
      </c>
      <c r="G283" s="12"/>
      <c r="H283" s="12"/>
      <c r="I283" s="13">
        <v>0</v>
      </c>
      <c r="J283" s="13">
        <v>1</v>
      </c>
      <c r="K283" s="14" t="str">
        <f t="shared" si="103"/>
        <v>Twitter for Android</v>
      </c>
      <c r="L283" s="13">
        <v>682</v>
      </c>
      <c r="M283" s="13">
        <v>515</v>
      </c>
      <c r="N283" s="13">
        <v>1</v>
      </c>
      <c r="O283" s="15"/>
      <c r="P283" s="6">
        <v>43413.516655092593</v>
      </c>
      <c r="Q283" s="16" t="s">
        <v>66</v>
      </c>
      <c r="R283" s="17" t="s">
        <v>1094</v>
      </c>
      <c r="S283" s="12"/>
      <c r="T283" s="12"/>
      <c r="U283" s="10" t="str">
        <f>HYPERLINK("https://pbs.twimg.com/profile_images/1060857415640539136/cZbEgTAv.jpg","View")</f>
        <v>View</v>
      </c>
    </row>
    <row r="284" spans="1:21" ht="20.399999999999999">
      <c r="A284" s="6">
        <v>43425.496030092589</v>
      </c>
      <c r="B284" s="7" t="str">
        <f>HYPERLINK("https://twitter.com/_softc0re","@_softc0re")</f>
        <v>@_softc0re</v>
      </c>
      <c r="C284" s="8" t="s">
        <v>1353</v>
      </c>
      <c r="D284" s="9" t="s">
        <v>1354</v>
      </c>
      <c r="E284" s="10" t="str">
        <f>HYPERLINK("https://twitter.com/_softc0re/status/1065196695947014145","1065196695947014145")</f>
        <v>1065196695947014145</v>
      </c>
      <c r="F284" s="12"/>
      <c r="G284" s="12"/>
      <c r="H284" s="12"/>
      <c r="I284" s="13">
        <v>0</v>
      </c>
      <c r="J284" s="13">
        <v>0</v>
      </c>
      <c r="K284" s="14" t="str">
        <f t="shared" si="103"/>
        <v>Twitter for Android</v>
      </c>
      <c r="L284" s="13">
        <v>672</v>
      </c>
      <c r="M284" s="13">
        <v>414</v>
      </c>
      <c r="N284" s="13">
        <v>10</v>
      </c>
      <c r="O284" s="15"/>
      <c r="P284" s="6">
        <v>41769.493321759262</v>
      </c>
      <c r="Q284" s="16" t="s">
        <v>104</v>
      </c>
      <c r="R284" s="17" t="s">
        <v>1357</v>
      </c>
      <c r="S284" s="11" t="s">
        <v>1358</v>
      </c>
      <c r="T284" s="12"/>
      <c r="U284" s="10" t="str">
        <f>HYPERLINK("https://pbs.twimg.com/profile_images/1060669010637930496/JcJZeytZ.jpg","View")</f>
        <v>View</v>
      </c>
    </row>
    <row r="285" spans="1:21" ht="91.8">
      <c r="A285" s="6">
        <v>43425.489849537036</v>
      </c>
      <c r="B285" s="7" t="str">
        <f>HYPERLINK("https://twitter.com/RGarcia1989","@RGarcia1989")</f>
        <v>@RGarcia1989</v>
      </c>
      <c r="C285" s="8" t="s">
        <v>1095</v>
      </c>
      <c r="D285" s="9" t="s">
        <v>1096</v>
      </c>
      <c r="E285" s="10" t="str">
        <f>HYPERLINK("https://twitter.com/RGarcia1989/status/1065194457828638722","1065194457828638722")</f>
        <v>1065194457828638722</v>
      </c>
      <c r="F285" s="11" t="s">
        <v>1097</v>
      </c>
      <c r="G285" s="11" t="s">
        <v>1098</v>
      </c>
      <c r="H285" s="12"/>
      <c r="I285" s="13">
        <v>0</v>
      </c>
      <c r="J285" s="13">
        <v>0</v>
      </c>
      <c r="K285" s="14" t="str">
        <f t="shared" si="103"/>
        <v>Twitter for Android</v>
      </c>
      <c r="L285" s="13">
        <v>8</v>
      </c>
      <c r="M285" s="13">
        <v>70</v>
      </c>
      <c r="N285" s="13">
        <v>0</v>
      </c>
      <c r="O285" s="15"/>
      <c r="P285" s="6">
        <v>43424.850729166668</v>
      </c>
      <c r="Q285" s="16" t="s">
        <v>1099</v>
      </c>
      <c r="R285" s="17" t="s">
        <v>1100</v>
      </c>
      <c r="S285" s="12"/>
      <c r="T285" s="12"/>
      <c r="U285" s="10" t="str">
        <f>HYPERLINK("https://pbs.twimg.com/profile_images/1064966721591799808/L1WK0UAA.jpg","View")</f>
        <v>View</v>
      </c>
    </row>
    <row r="286" spans="1:21" ht="30.6">
      <c r="A286" s="6">
        <v>43425.486342592594</v>
      </c>
      <c r="B286" s="7" t="str">
        <f>HYPERLINK("https://twitter.com/alenco3377","@alenco3377")</f>
        <v>@alenco3377</v>
      </c>
      <c r="C286" s="8" t="s">
        <v>1103</v>
      </c>
      <c r="D286" s="9" t="s">
        <v>1105</v>
      </c>
      <c r="E286" s="10" t="str">
        <f>HYPERLINK("https://twitter.com/alenco3377/status/1065193185171906560","1065193185171906560")</f>
        <v>1065193185171906560</v>
      </c>
      <c r="F286" s="11" t="s">
        <v>540</v>
      </c>
      <c r="G286" s="11" t="s">
        <v>542</v>
      </c>
      <c r="H286" s="12"/>
      <c r="I286" s="13">
        <v>0</v>
      </c>
      <c r="J286" s="13">
        <v>0</v>
      </c>
      <c r="K286" s="14" t="str">
        <f t="shared" si="103"/>
        <v>Twitter for Android</v>
      </c>
      <c r="L286" s="13">
        <v>50</v>
      </c>
      <c r="M286" s="13">
        <v>321</v>
      </c>
      <c r="N286" s="13">
        <v>0</v>
      </c>
      <c r="O286" s="15"/>
      <c r="P286" s="6">
        <v>41538.97284722222</v>
      </c>
      <c r="Q286" s="12"/>
      <c r="R286" s="17" t="s">
        <v>1107</v>
      </c>
      <c r="S286" s="12"/>
      <c r="T286" s="12"/>
      <c r="U286" s="10" t="str">
        <f>HYPERLINK("https://pbs.twimg.com/profile_images/1058849949545316352/J0y3EsIW.jpg","View")</f>
        <v>View</v>
      </c>
    </row>
    <row r="287" spans="1:21" ht="71.400000000000006">
      <c r="A287" s="6">
        <v>43425.485405092593</v>
      </c>
      <c r="B287" s="7" t="str">
        <f>HYPERLINK("https://twitter.com/lunadebenidorm","@lunadebenidorm")</f>
        <v>@lunadebenidorm</v>
      </c>
      <c r="C287" s="8" t="s">
        <v>106</v>
      </c>
      <c r="D287" s="9" t="s">
        <v>1108</v>
      </c>
      <c r="E287" s="10" t="str">
        <f>HYPERLINK("https://twitter.com/lunadebenidorm/status/1065192845718495232","1065192845718495232")</f>
        <v>1065192845718495232</v>
      </c>
      <c r="F287" s="12"/>
      <c r="G287" s="11" t="s">
        <v>1109</v>
      </c>
      <c r="H287" s="12"/>
      <c r="I287" s="13">
        <v>0</v>
      </c>
      <c r="J287" s="13">
        <v>0</v>
      </c>
      <c r="K287" s="14" t="str">
        <f t="shared" si="103"/>
        <v>Twitter for Android</v>
      </c>
      <c r="L287" s="13">
        <v>3991</v>
      </c>
      <c r="M287" s="13">
        <v>3978</v>
      </c>
      <c r="N287" s="13">
        <v>79</v>
      </c>
      <c r="O287" s="15"/>
      <c r="P287" s="6">
        <v>41461.81186342593</v>
      </c>
      <c r="Q287" s="12"/>
      <c r="R287" s="17" t="s">
        <v>108</v>
      </c>
      <c r="S287" s="12"/>
      <c r="T287" s="12"/>
      <c r="U287" s="10" t="str">
        <f>HYPERLINK("https://pbs.twimg.com/profile_images/1061229593758257153/rePCQt08.jpg","View")</f>
        <v>View</v>
      </c>
    </row>
    <row r="288" spans="1:21" ht="40.799999999999997">
      <c r="A288" s="6">
        <v>43425.483206018514</v>
      </c>
      <c r="B288" s="7" t="str">
        <f>HYPERLINK("https://twitter.com/pakaletes","@pakaletes")</f>
        <v>@pakaletes</v>
      </c>
      <c r="C288" s="8" t="s">
        <v>1110</v>
      </c>
      <c r="D288" s="9" t="s">
        <v>1111</v>
      </c>
      <c r="E288" s="10" t="str">
        <f>HYPERLINK("https://twitter.com/pakaletes/status/1065192050348498944","1065192050348498944")</f>
        <v>1065192050348498944</v>
      </c>
      <c r="F288" s="11" t="s">
        <v>1112</v>
      </c>
      <c r="G288" s="12"/>
      <c r="H288" s="12"/>
      <c r="I288" s="13">
        <v>0</v>
      </c>
      <c r="J288" s="13">
        <v>0</v>
      </c>
      <c r="K288" s="14" t="str">
        <f t="shared" ref="K288:K289" si="104">HYPERLINK("http://twitter.com","Twitter Web Client")</f>
        <v>Twitter Web Client</v>
      </c>
      <c r="L288" s="13">
        <v>389</v>
      </c>
      <c r="M288" s="13">
        <v>1174</v>
      </c>
      <c r="N288" s="13">
        <v>2</v>
      </c>
      <c r="O288" s="15"/>
      <c r="P288" s="6">
        <v>40461.966527777782</v>
      </c>
      <c r="Q288" s="16" t="s">
        <v>1113</v>
      </c>
      <c r="R288" s="21"/>
      <c r="S288" s="11" t="s">
        <v>1114</v>
      </c>
      <c r="T288" s="12"/>
      <c r="U288" s="10" t="str">
        <f>HYPERLINK("https://pbs.twimg.com/profile_images/875095547060920321/keUgmUaK.jpg","View")</f>
        <v>View</v>
      </c>
    </row>
    <row r="289" spans="1:21" ht="51">
      <c r="A289" s="6">
        <v>43425.482465277775</v>
      </c>
      <c r="B289" s="7" t="str">
        <f>HYPERLINK("https://twitter.com/alex_rodrguez","@alex_rodrguez")</f>
        <v>@alex_rodrguez</v>
      </c>
      <c r="C289" s="8" t="s">
        <v>1374</v>
      </c>
      <c r="D289" s="9" t="s">
        <v>1375</v>
      </c>
      <c r="E289" s="10" t="str">
        <f>HYPERLINK("https://twitter.com/alex_rodrguez/status/1065191780088463360","1065191780088463360")</f>
        <v>1065191780088463360</v>
      </c>
      <c r="F289" s="16" t="s">
        <v>798</v>
      </c>
      <c r="G289" s="11" t="s">
        <v>799</v>
      </c>
      <c r="H289" s="12"/>
      <c r="I289" s="13">
        <v>0</v>
      </c>
      <c r="J289" s="13">
        <v>0</v>
      </c>
      <c r="K289" s="14" t="str">
        <f t="shared" si="104"/>
        <v>Twitter Web Client</v>
      </c>
      <c r="L289" s="13">
        <v>243</v>
      </c>
      <c r="M289" s="13">
        <v>199</v>
      </c>
      <c r="N289" s="13">
        <v>3</v>
      </c>
      <c r="O289" s="15"/>
      <c r="P289" s="6">
        <v>40680.540208333332</v>
      </c>
      <c r="Q289" s="16" t="s">
        <v>1376</v>
      </c>
      <c r="R289" s="17" t="s">
        <v>1377</v>
      </c>
      <c r="S289" s="12"/>
      <c r="T289" s="12"/>
      <c r="U289" s="10" t="str">
        <f>HYPERLINK("https://pbs.twimg.com/profile_images/951805694998712320/BM8qfQ3T.jpg","View")</f>
        <v>View</v>
      </c>
    </row>
    <row r="290" spans="1:21" ht="51">
      <c r="A290" s="6">
        <v>43425.471689814818</v>
      </c>
      <c r="B290" s="7" t="str">
        <f>HYPERLINK("https://twitter.com/Manudpo","@Manudpo")</f>
        <v>@Manudpo</v>
      </c>
      <c r="C290" s="8" t="s">
        <v>1115</v>
      </c>
      <c r="D290" s="9" t="s">
        <v>1116</v>
      </c>
      <c r="E290" s="10" t="str">
        <f>HYPERLINK("https://twitter.com/Manudpo/status/1065187873832529920","1065187873832529920")</f>
        <v>1065187873832529920</v>
      </c>
      <c r="F290" s="12"/>
      <c r="G290" s="12"/>
      <c r="H290" s="12"/>
      <c r="I290" s="13">
        <v>0</v>
      </c>
      <c r="J290" s="13">
        <v>1</v>
      </c>
      <c r="K290" s="14" t="str">
        <f>HYPERLINK("http://twitter.com/download/iphone","Twitter for iPhone")</f>
        <v>Twitter for iPhone</v>
      </c>
      <c r="L290" s="13">
        <v>146</v>
      </c>
      <c r="M290" s="13">
        <v>517</v>
      </c>
      <c r="N290" s="13">
        <v>3</v>
      </c>
      <c r="O290" s="15"/>
      <c r="P290" s="6">
        <v>41137.973773148144</v>
      </c>
      <c r="Q290" s="16" t="s">
        <v>104</v>
      </c>
      <c r="R290" s="17" t="s">
        <v>1119</v>
      </c>
      <c r="S290" s="12"/>
      <c r="T290" s="12"/>
      <c r="U290" s="10" t="str">
        <f>HYPERLINK("https://pbs.twimg.com/profile_images/924410392788504577/Mw4q9xIj.jpg","View")</f>
        <v>View</v>
      </c>
    </row>
    <row r="291" spans="1:21" ht="30.6">
      <c r="A291" s="6">
        <v>43425.46938657407</v>
      </c>
      <c r="B291" s="7" t="str">
        <f>HYPERLINK("https://twitter.com/lunadebenidorm","@lunadebenidorm")</f>
        <v>@lunadebenidorm</v>
      </c>
      <c r="C291" s="8" t="s">
        <v>106</v>
      </c>
      <c r="D291" s="9" t="s">
        <v>1120</v>
      </c>
      <c r="E291" s="10" t="str">
        <f>HYPERLINK("https://twitter.com/lunadebenidorm/status/1065187042760556544","1065187042760556544")</f>
        <v>1065187042760556544</v>
      </c>
      <c r="F291" s="11" t="s">
        <v>1121</v>
      </c>
      <c r="G291" s="12"/>
      <c r="H291" s="12"/>
      <c r="I291" s="13">
        <v>0</v>
      </c>
      <c r="J291" s="13">
        <v>0</v>
      </c>
      <c r="K291" s="14" t="str">
        <f>HYPERLINK("http://twitter.com/download/android","Twitter for Android")</f>
        <v>Twitter for Android</v>
      </c>
      <c r="L291" s="13">
        <v>3991</v>
      </c>
      <c r="M291" s="13">
        <v>3978</v>
      </c>
      <c r="N291" s="13">
        <v>79</v>
      </c>
      <c r="O291" s="15"/>
      <c r="P291" s="6">
        <v>41461.81186342593</v>
      </c>
      <c r="Q291" s="12"/>
      <c r="R291" s="17" t="s">
        <v>108</v>
      </c>
      <c r="S291" s="12"/>
      <c r="T291" s="12"/>
      <c r="U291" s="10" t="str">
        <f>HYPERLINK("https://pbs.twimg.com/profile_images/1061229593758257153/rePCQt08.jpg","View")</f>
        <v>View</v>
      </c>
    </row>
    <row r="292" spans="1:21" ht="81.599999999999994">
      <c r="A292" s="6">
        <v>43425.467337962968</v>
      </c>
      <c r="B292" s="7" t="str">
        <f>HYPERLINK("https://twitter.com/ElDoctorMabuse","@ElDoctorMabuse")</f>
        <v>@ElDoctorMabuse</v>
      </c>
      <c r="C292" s="8" t="s">
        <v>1122</v>
      </c>
      <c r="D292" s="9" t="s">
        <v>1123</v>
      </c>
      <c r="E292" s="10" t="str">
        <f>HYPERLINK("https://twitter.com/ElDoctorMabuse/status/1065186298032476163","1065186298032476163")</f>
        <v>1065186298032476163</v>
      </c>
      <c r="F292" s="16" t="s">
        <v>1124</v>
      </c>
      <c r="G292" s="11" t="s">
        <v>1125</v>
      </c>
      <c r="H292" s="12"/>
      <c r="I292" s="13">
        <v>0</v>
      </c>
      <c r="J292" s="13">
        <v>0</v>
      </c>
      <c r="K292" s="14" t="str">
        <f>HYPERLINK("http://twitter.com/#!/download/ipad","Twitter for iPad")</f>
        <v>Twitter for iPad</v>
      </c>
      <c r="L292" s="13">
        <v>243</v>
      </c>
      <c r="M292" s="13">
        <v>535</v>
      </c>
      <c r="N292" s="13">
        <v>11</v>
      </c>
      <c r="O292" s="15"/>
      <c r="P292" s="6">
        <v>40273.293067129627</v>
      </c>
      <c r="Q292" s="16" t="s">
        <v>1126</v>
      </c>
      <c r="R292" s="17" t="s">
        <v>1127</v>
      </c>
      <c r="S292" s="11" t="s">
        <v>1128</v>
      </c>
      <c r="T292" s="12"/>
      <c r="U292" s="10" t="str">
        <f>HYPERLINK("https://pbs.twimg.com/profile_images/442391428069879808/46XrmQAl.jpeg","View")</f>
        <v>View</v>
      </c>
    </row>
    <row r="293" spans="1:21" ht="61.2">
      <c r="A293" s="6">
        <v>43425.46575231482</v>
      </c>
      <c r="B293" s="7" t="str">
        <f>HYPERLINK("https://twitter.com/quinfernandezz","@quinfernandezz")</f>
        <v>@quinfernandezz</v>
      </c>
      <c r="C293" s="8" t="s">
        <v>800</v>
      </c>
      <c r="D293" s="9" t="s">
        <v>1129</v>
      </c>
      <c r="E293" s="10" t="str">
        <f>HYPERLINK("https://twitter.com/quinfernandezz/status/1065185724021047296","1065185724021047296")</f>
        <v>1065185724021047296</v>
      </c>
      <c r="F293" s="12"/>
      <c r="G293" s="12"/>
      <c r="H293" s="12"/>
      <c r="I293" s="13">
        <v>0</v>
      </c>
      <c r="J293" s="13">
        <v>0</v>
      </c>
      <c r="K293" s="14" t="str">
        <f t="shared" ref="K293:K296" si="105">HYPERLINK("http://twitter.com/download/android","Twitter for Android")</f>
        <v>Twitter for Android</v>
      </c>
      <c r="L293" s="13">
        <v>1271</v>
      </c>
      <c r="M293" s="13">
        <v>1000</v>
      </c>
      <c r="N293" s="13">
        <v>50</v>
      </c>
      <c r="O293" s="15"/>
      <c r="P293" s="6">
        <v>40717.647824074076</v>
      </c>
      <c r="Q293" s="16" t="s">
        <v>803</v>
      </c>
      <c r="R293" s="17" t="s">
        <v>804</v>
      </c>
      <c r="S293" s="12"/>
      <c r="T293" s="12"/>
      <c r="U293" s="10" t="str">
        <f>HYPERLINK("https://pbs.twimg.com/profile_images/972223918160400385/Dxs5Jtwh.jpg","View")</f>
        <v>View</v>
      </c>
    </row>
    <row r="294" spans="1:21" ht="30.6">
      <c r="A294" s="6">
        <v>43425.452592592592</v>
      </c>
      <c r="B294" s="7" t="str">
        <f>HYPERLINK("https://twitter.com/COJONESAZUL","@COJONESAZUL")</f>
        <v>@COJONESAZUL</v>
      </c>
      <c r="C294" s="8" t="s">
        <v>273</v>
      </c>
      <c r="D294" s="9" t="s">
        <v>1133</v>
      </c>
      <c r="E294" s="10" t="str">
        <f>HYPERLINK("https://twitter.com/COJONESAZUL/status/1065180956414349312","1065180956414349312")</f>
        <v>1065180956414349312</v>
      </c>
      <c r="F294" s="11" t="s">
        <v>1134</v>
      </c>
      <c r="G294" s="12"/>
      <c r="H294" s="12"/>
      <c r="I294" s="13">
        <v>5</v>
      </c>
      <c r="J294" s="13">
        <v>3</v>
      </c>
      <c r="K294" s="14" t="str">
        <f t="shared" si="105"/>
        <v>Twitter for Android</v>
      </c>
      <c r="L294" s="13">
        <v>1745</v>
      </c>
      <c r="M294" s="13">
        <v>1341</v>
      </c>
      <c r="N294" s="13">
        <v>30</v>
      </c>
      <c r="O294" s="15"/>
      <c r="P294" s="6">
        <v>41174.990115740744</v>
      </c>
      <c r="Q294" s="12"/>
      <c r="R294" s="17" t="s">
        <v>277</v>
      </c>
      <c r="S294" s="12"/>
      <c r="T294" s="12"/>
      <c r="U294" s="10" t="str">
        <f>HYPERLINK("https://pbs.twimg.com/profile_images/378800000589378336/1071355845a251e31f6f1c69ee16cda9.jpeg","View")</f>
        <v>View</v>
      </c>
    </row>
    <row r="295" spans="1:21" ht="20.399999999999999">
      <c r="A295" s="6">
        <v>43425.452337962968</v>
      </c>
      <c r="B295" s="7" t="str">
        <f>HYPERLINK("https://twitter.com/ArmandoVilan96","@ArmandoVilan96")</f>
        <v>@ArmandoVilan96</v>
      </c>
      <c r="C295" s="8" t="s">
        <v>1137</v>
      </c>
      <c r="D295" s="9" t="s">
        <v>1138</v>
      </c>
      <c r="E295" s="10" t="str">
        <f>HYPERLINK("https://twitter.com/ArmandoVilan96/status/1065180863871283200","1065180863871283200")</f>
        <v>1065180863871283200</v>
      </c>
      <c r="F295" s="12"/>
      <c r="G295" s="11" t="s">
        <v>1139</v>
      </c>
      <c r="H295" s="12"/>
      <c r="I295" s="13">
        <v>0</v>
      </c>
      <c r="J295" s="13">
        <v>1</v>
      </c>
      <c r="K295" s="14" t="str">
        <f t="shared" si="105"/>
        <v>Twitter for Android</v>
      </c>
      <c r="L295" s="13">
        <v>398</v>
      </c>
      <c r="M295" s="13">
        <v>286</v>
      </c>
      <c r="N295" s="13">
        <v>2</v>
      </c>
      <c r="O295" s="15"/>
      <c r="P295" s="6">
        <v>40890.658958333333</v>
      </c>
      <c r="Q295" s="16" t="s">
        <v>1140</v>
      </c>
      <c r="R295" s="17" t="s">
        <v>1141</v>
      </c>
      <c r="S295" s="12"/>
      <c r="T295" s="12"/>
      <c r="U295" s="10" t="str">
        <f>HYPERLINK("https://pbs.twimg.com/profile_images/1017002872058376192/8pJjagOW.jpg","View")</f>
        <v>View</v>
      </c>
    </row>
    <row r="296" spans="1:21" ht="30.6">
      <c r="A296" s="6">
        <v>43425.449212962965</v>
      </c>
      <c r="B296" s="7" t="str">
        <f>HYPERLINK("https://twitter.com/aurorab933","@aurorab933")</f>
        <v>@aurorab933</v>
      </c>
      <c r="C296" s="24" t="s">
        <v>1142</v>
      </c>
      <c r="D296" s="9" t="s">
        <v>1143</v>
      </c>
      <c r="E296" s="10" t="str">
        <f>HYPERLINK("https://twitter.com/aurorab933/status/1065179730289266688","1065179730289266688")</f>
        <v>1065179730289266688</v>
      </c>
      <c r="F296" s="12"/>
      <c r="G296" s="11" t="s">
        <v>1144</v>
      </c>
      <c r="H296" s="12"/>
      <c r="I296" s="13">
        <v>12</v>
      </c>
      <c r="J296" s="13">
        <v>10</v>
      </c>
      <c r="K296" s="14" t="str">
        <f t="shared" si="105"/>
        <v>Twitter for Android</v>
      </c>
      <c r="L296" s="13">
        <v>2937</v>
      </c>
      <c r="M296" s="13">
        <v>2191</v>
      </c>
      <c r="N296" s="13">
        <v>123</v>
      </c>
      <c r="O296" s="15"/>
      <c r="P296" s="6">
        <v>41240.950648148151</v>
      </c>
      <c r="Q296" s="12"/>
      <c r="R296" s="21"/>
      <c r="S296" s="12"/>
      <c r="T296" s="12"/>
      <c r="U296" s="10" t="str">
        <f>HYPERLINK("https://pbs.twimg.com/profile_images/1050140493819105281/e2da3DMj.jpg","View")</f>
        <v>View</v>
      </c>
    </row>
    <row r="297" spans="1:21" ht="30.6">
      <c r="A297" s="6">
        <v>43425.447916666672</v>
      </c>
      <c r="B297" s="7" t="str">
        <f>HYPERLINK("https://twitter.com/VOX_LaDerecha","@VOX_LaDerecha")</f>
        <v>@VOX_LaDerecha</v>
      </c>
      <c r="C297" s="8" t="s">
        <v>1145</v>
      </c>
      <c r="D297" s="9" t="s">
        <v>1146</v>
      </c>
      <c r="E297" s="10" t="str">
        <f>HYPERLINK("https://twitter.com/VOX_LaDerecha/status/1065179260078485504","1065179260078485504")</f>
        <v>1065179260078485504</v>
      </c>
      <c r="F297" s="12"/>
      <c r="G297" s="11" t="s">
        <v>1147</v>
      </c>
      <c r="H297" s="12"/>
      <c r="I297" s="13">
        <v>0</v>
      </c>
      <c r="J297" s="13">
        <v>1</v>
      </c>
      <c r="K297" s="14" t="str">
        <f>HYPERLINK("https://about.twitter.com/products/tweetdeck","TweetDeck")</f>
        <v>TweetDeck</v>
      </c>
      <c r="L297" s="13">
        <v>49</v>
      </c>
      <c r="M297" s="13">
        <v>94</v>
      </c>
      <c r="N297" s="13">
        <v>1</v>
      </c>
      <c r="O297" s="15"/>
      <c r="P297" s="6">
        <v>43422.093634259261</v>
      </c>
      <c r="Q297" s="12"/>
      <c r="R297" s="17" t="s">
        <v>1148</v>
      </c>
      <c r="S297" s="12"/>
      <c r="T297" s="12"/>
      <c r="U297" s="10" t="str">
        <f>HYPERLINK("https://pbs.twimg.com/profile_images/1063977518158491648/SdasggKS.jpg","View")</f>
        <v>View</v>
      </c>
    </row>
    <row r="298" spans="1:21" ht="51">
      <c r="A298" s="6">
        <v>43425.439745370371</v>
      </c>
      <c r="B298" s="7" t="str">
        <f>HYPERLINK("https://twitter.com/Stivenpgm","@Stivenpgm")</f>
        <v>@Stivenpgm</v>
      </c>
      <c r="C298" s="8" t="s">
        <v>1149</v>
      </c>
      <c r="D298" s="9" t="s">
        <v>1150</v>
      </c>
      <c r="E298" s="10" t="str">
        <f>HYPERLINK("https://twitter.com/Stivenpgm/status/1065176298627235845","1065176298627235845")</f>
        <v>1065176298627235845</v>
      </c>
      <c r="F298" s="12"/>
      <c r="G298" s="11" t="s">
        <v>1151</v>
      </c>
      <c r="H298" s="12"/>
      <c r="I298" s="13">
        <v>0</v>
      </c>
      <c r="J298" s="13">
        <v>2</v>
      </c>
      <c r="K298" s="14" t="str">
        <f t="shared" ref="K298:K299" si="106">HYPERLINK("http://twitter.com/download/android","Twitter for Android")</f>
        <v>Twitter for Android</v>
      </c>
      <c r="L298" s="13">
        <v>1261</v>
      </c>
      <c r="M298" s="13">
        <v>1465</v>
      </c>
      <c r="N298" s="13">
        <v>14</v>
      </c>
      <c r="O298" s="15"/>
      <c r="P298" s="6">
        <v>41004.098379629628</v>
      </c>
      <c r="Q298" s="16" t="s">
        <v>1152</v>
      </c>
      <c r="R298" s="17" t="s">
        <v>1153</v>
      </c>
      <c r="S298" s="12"/>
      <c r="T298" s="12"/>
      <c r="U298" s="10" t="str">
        <f>HYPERLINK("https://pbs.twimg.com/profile_images/1045025776582701059/YylMNKvJ.jpg","View")</f>
        <v>View</v>
      </c>
    </row>
    <row r="299" spans="1:21" ht="81.599999999999994">
      <c r="A299" s="6">
        <v>43425.438310185185</v>
      </c>
      <c r="B299" s="7" t="str">
        <f>HYPERLINK("https://twitter.com/enigmista_ita","@enigmista_ita")</f>
        <v>@enigmista_ita</v>
      </c>
      <c r="C299" s="8" t="s">
        <v>1154</v>
      </c>
      <c r="D299" s="9" t="s">
        <v>1155</v>
      </c>
      <c r="E299" s="10" t="str">
        <f>HYPERLINK("https://twitter.com/enigmista_ita/status/1065175778621616128","1065175778621616128")</f>
        <v>1065175778621616128</v>
      </c>
      <c r="F299" s="11" t="s">
        <v>1157</v>
      </c>
      <c r="G299" s="12"/>
      <c r="H299" s="12"/>
      <c r="I299" s="13">
        <v>0</v>
      </c>
      <c r="J299" s="13">
        <v>0</v>
      </c>
      <c r="K299" s="14" t="str">
        <f t="shared" si="106"/>
        <v>Twitter for Android</v>
      </c>
      <c r="L299" s="13">
        <v>270</v>
      </c>
      <c r="M299" s="13">
        <v>804</v>
      </c>
      <c r="N299" s="13">
        <v>1</v>
      </c>
      <c r="O299" s="15"/>
      <c r="P299" s="6">
        <v>43224.978437500002</v>
      </c>
      <c r="Q299" s="16" t="s">
        <v>1158</v>
      </c>
      <c r="R299" s="17" t="s">
        <v>1159</v>
      </c>
      <c r="S299" s="12"/>
      <c r="T299" s="12"/>
      <c r="U299" s="10" t="str">
        <f>HYPERLINK("https://pbs.twimg.com/profile_images/1000895275303612416/VFVg0qGz.jpg","View")</f>
        <v>View</v>
      </c>
    </row>
    <row r="300" spans="1:21" ht="30.6">
      <c r="A300" s="6">
        <v>43425.428391203706</v>
      </c>
      <c r="B300" s="7" t="str">
        <f>HYPERLINK("https://twitter.com/Mirallismo","@Mirallismo")</f>
        <v>@Mirallismo</v>
      </c>
      <c r="C300" s="8" t="s">
        <v>1415</v>
      </c>
      <c r="D300" s="9" t="s">
        <v>1416</v>
      </c>
      <c r="E300" s="10" t="str">
        <f>HYPERLINK("https://twitter.com/Mirallismo/status/1065172183083675648","1065172183083675648")</f>
        <v>1065172183083675648</v>
      </c>
      <c r="F300" s="11" t="s">
        <v>540</v>
      </c>
      <c r="G300" s="11" t="s">
        <v>542</v>
      </c>
      <c r="H300" s="12"/>
      <c r="I300" s="13">
        <v>1</v>
      </c>
      <c r="J300" s="13">
        <v>2</v>
      </c>
      <c r="K300" s="14" t="str">
        <f t="shared" ref="K300:K302" si="107">HYPERLINK("https://about.twitter.com/products/tweetdeck","TweetDeck")</f>
        <v>TweetDeck</v>
      </c>
      <c r="L300" s="13">
        <v>549</v>
      </c>
      <c r="M300" s="13">
        <v>324</v>
      </c>
      <c r="N300" s="13">
        <v>11</v>
      </c>
      <c r="O300" s="15"/>
      <c r="P300" s="6">
        <v>41640.012766203705</v>
      </c>
      <c r="Q300" s="16" t="s">
        <v>904</v>
      </c>
      <c r="R300" s="17" t="s">
        <v>1419</v>
      </c>
      <c r="S300" s="12"/>
      <c r="T300" s="12"/>
      <c r="U300" s="10" t="str">
        <f>HYPERLINK("https://pbs.twimg.com/profile_images/990139711053320193/BdUKbrP2.jpg","View")</f>
        <v>View</v>
      </c>
    </row>
    <row r="301" spans="1:21" ht="40.799999999999997">
      <c r="A301" s="6">
        <v>43425.427175925928</v>
      </c>
      <c r="B301" s="7" t="str">
        <f>HYPERLINK("https://twitter.com/trigork","@trigork")</f>
        <v>@trigork</v>
      </c>
      <c r="C301" s="8" t="s">
        <v>1421</v>
      </c>
      <c r="D301" s="9" t="s">
        <v>1422</v>
      </c>
      <c r="E301" s="10" t="str">
        <f>HYPERLINK("https://twitter.com/trigork/status/1065171745697599489","1065171745697599489")</f>
        <v>1065171745697599489</v>
      </c>
      <c r="F301" s="12"/>
      <c r="G301" s="12"/>
      <c r="H301" s="12"/>
      <c r="I301" s="13">
        <v>1</v>
      </c>
      <c r="J301" s="13">
        <v>0</v>
      </c>
      <c r="K301" s="14" t="str">
        <f t="shared" si="107"/>
        <v>TweetDeck</v>
      </c>
      <c r="L301" s="13">
        <v>488</v>
      </c>
      <c r="M301" s="13">
        <v>375</v>
      </c>
      <c r="N301" s="13">
        <v>33</v>
      </c>
      <c r="O301" s="15"/>
      <c r="P301" s="6">
        <v>39927.665659722225</v>
      </c>
      <c r="Q301" s="16" t="s">
        <v>1424</v>
      </c>
      <c r="R301" s="17" t="s">
        <v>1425</v>
      </c>
      <c r="S301" s="11" t="s">
        <v>1426</v>
      </c>
      <c r="T301" s="12"/>
      <c r="U301" s="10" t="str">
        <f>HYPERLINK("https://pbs.twimg.com/profile_images/1059545653364301824/WVm_Jgqz.jpg","View")</f>
        <v>View</v>
      </c>
    </row>
    <row r="302" spans="1:21" ht="71.400000000000006">
      <c r="A302" s="6">
        <v>43425.411400462966</v>
      </c>
      <c r="B302" s="7" t="str">
        <f>HYPERLINK("https://twitter.com/CurroTroya","@CurroTroya")</f>
        <v>@CurroTroya</v>
      </c>
      <c r="C302" s="8" t="s">
        <v>1160</v>
      </c>
      <c r="D302" s="9" t="s">
        <v>1161</v>
      </c>
      <c r="E302" s="10" t="str">
        <f>HYPERLINK("https://twitter.com/CurroTroya/status/1065166029049995264","1065166029049995264")</f>
        <v>1065166029049995264</v>
      </c>
      <c r="F302" s="11" t="s">
        <v>906</v>
      </c>
      <c r="G302" s="11" t="s">
        <v>907</v>
      </c>
      <c r="H302" s="12"/>
      <c r="I302" s="13">
        <v>0</v>
      </c>
      <c r="J302" s="13">
        <v>0</v>
      </c>
      <c r="K302" s="14" t="str">
        <f t="shared" si="107"/>
        <v>TweetDeck</v>
      </c>
      <c r="L302" s="13">
        <v>15197</v>
      </c>
      <c r="M302" s="13">
        <v>6474</v>
      </c>
      <c r="N302" s="13">
        <v>479</v>
      </c>
      <c r="O302" s="15"/>
      <c r="P302" s="6">
        <v>39989.777754629627</v>
      </c>
      <c r="Q302" s="16" t="s">
        <v>1162</v>
      </c>
      <c r="R302" s="17" t="s">
        <v>1163</v>
      </c>
      <c r="S302" s="11" t="s">
        <v>1164</v>
      </c>
      <c r="T302" s="12"/>
      <c r="U302" s="10" t="str">
        <f>HYPERLINK("https://pbs.twimg.com/profile_images/1010977003196076033/3hTl853S.jpg","View")</f>
        <v>View</v>
      </c>
    </row>
    <row r="303" spans="1:21" ht="51">
      <c r="A303" s="6">
        <v>43425.411111111112</v>
      </c>
      <c r="B303" s="7" t="str">
        <f>HYPERLINK("https://twitter.com/paco_m_","@paco_m_")</f>
        <v>@paco_m_</v>
      </c>
      <c r="C303" s="8" t="s">
        <v>1166</v>
      </c>
      <c r="D303" s="9" t="s">
        <v>1168</v>
      </c>
      <c r="E303" s="10" t="str">
        <f>HYPERLINK("https://twitter.com/paco_m_/status/1065165924662161408","1065165924662161408")</f>
        <v>1065165924662161408</v>
      </c>
      <c r="F303" s="11" t="s">
        <v>1169</v>
      </c>
      <c r="G303" s="12"/>
      <c r="H303" s="12"/>
      <c r="I303" s="13">
        <v>0</v>
      </c>
      <c r="J303" s="13">
        <v>0</v>
      </c>
      <c r="K303" s="14" t="str">
        <f t="shared" ref="K303:K306" si="108">HYPERLINK("http://twitter.com/download/android","Twitter for Android")</f>
        <v>Twitter for Android</v>
      </c>
      <c r="L303" s="13">
        <v>327</v>
      </c>
      <c r="M303" s="13">
        <v>257</v>
      </c>
      <c r="N303" s="13">
        <v>11</v>
      </c>
      <c r="O303" s="15"/>
      <c r="P303" s="6">
        <v>41661.530474537038</v>
      </c>
      <c r="Q303" s="12"/>
      <c r="R303" s="17" t="s">
        <v>1172</v>
      </c>
      <c r="S303" s="11" t="s">
        <v>1173</v>
      </c>
      <c r="T303" s="12"/>
      <c r="U303" s="10" t="str">
        <f>HYPERLINK("https://pbs.twimg.com/profile_images/1044109895094685696/sEUcUo79.jpg","View")</f>
        <v>View</v>
      </c>
    </row>
    <row r="304" spans="1:21" ht="30.6">
      <c r="A304" s="6">
        <v>43425.383310185185</v>
      </c>
      <c r="B304" s="7" t="str">
        <f>HYPERLINK("https://twitter.com/DeMeison","@DeMeison")</f>
        <v>@DeMeison</v>
      </c>
      <c r="C304" s="8" t="s">
        <v>1435</v>
      </c>
      <c r="D304" s="9" t="s">
        <v>1437</v>
      </c>
      <c r="E304" s="10" t="str">
        <f>HYPERLINK("https://twitter.com/DeMeison/status/1065155847972679680","1065155847972679680")</f>
        <v>1065155847972679680</v>
      </c>
      <c r="F304" s="12"/>
      <c r="G304" s="11" t="s">
        <v>1438</v>
      </c>
      <c r="H304" s="12"/>
      <c r="I304" s="13">
        <v>5</v>
      </c>
      <c r="J304" s="13">
        <v>6</v>
      </c>
      <c r="K304" s="14" t="str">
        <f t="shared" si="108"/>
        <v>Twitter for Android</v>
      </c>
      <c r="L304" s="13">
        <v>1567</v>
      </c>
      <c r="M304" s="13">
        <v>1236</v>
      </c>
      <c r="N304" s="13">
        <v>24</v>
      </c>
      <c r="O304" s="15"/>
      <c r="P304" s="6">
        <v>40711.818657407406</v>
      </c>
      <c r="Q304" s="16" t="s">
        <v>1439</v>
      </c>
      <c r="R304" s="17" t="s">
        <v>1440</v>
      </c>
      <c r="S304" s="12"/>
      <c r="T304" s="12"/>
      <c r="U304" s="10" t="str">
        <f>HYPERLINK("https://pbs.twimg.com/profile_images/924658553121640448/v126-zQr.jpg","View")</f>
        <v>View</v>
      </c>
    </row>
    <row r="305" spans="1:21" ht="30.6">
      <c r="A305" s="6">
        <v>43425.382222222222</v>
      </c>
      <c r="B305" s="7" t="str">
        <f t="shared" ref="B305:B306" si="109">HYPERLINK("https://twitter.com/TNylaya","@TNylaya")</f>
        <v>@TNylaya</v>
      </c>
      <c r="C305" s="8" t="s">
        <v>21</v>
      </c>
      <c r="D305" s="9" t="s">
        <v>1442</v>
      </c>
      <c r="E305" s="10" t="str">
        <f>HYPERLINK("https://twitter.com/TNylaya/status/1065155454546976768","1065155454546976768")</f>
        <v>1065155454546976768</v>
      </c>
      <c r="F305" s="11" t="s">
        <v>1443</v>
      </c>
      <c r="G305" s="11" t="s">
        <v>1444</v>
      </c>
      <c r="H305" s="12"/>
      <c r="I305" s="13">
        <v>0</v>
      </c>
      <c r="J305" s="13">
        <v>0</v>
      </c>
      <c r="K305" s="14" t="str">
        <f t="shared" si="108"/>
        <v>Twitter for Android</v>
      </c>
      <c r="L305" s="13">
        <v>82</v>
      </c>
      <c r="M305" s="13">
        <v>268</v>
      </c>
      <c r="N305" s="13">
        <v>0</v>
      </c>
      <c r="O305" s="15"/>
      <c r="P305" s="6">
        <v>43373.076354166667</v>
      </c>
      <c r="Q305" s="12"/>
      <c r="R305" s="17" t="s">
        <v>26</v>
      </c>
      <c r="S305" s="12"/>
      <c r="T305" s="12"/>
      <c r="U305" s="10" t="str">
        <f t="shared" ref="U305:U306" si="110">HYPERLINK("https://pbs.twimg.com/profile_images/1046188819358322689/x_yItWiC.jpg","View")</f>
        <v>View</v>
      </c>
    </row>
    <row r="306" spans="1:21" ht="20.399999999999999">
      <c r="A306" s="6">
        <v>43425.380787037036</v>
      </c>
      <c r="B306" s="7" t="str">
        <f t="shared" si="109"/>
        <v>@TNylaya</v>
      </c>
      <c r="C306" s="8" t="s">
        <v>21</v>
      </c>
      <c r="D306" s="9" t="s">
        <v>1446</v>
      </c>
      <c r="E306" s="10" t="str">
        <f>HYPERLINK("https://twitter.com/TNylaya/status/1065154935807983617","1065154935807983617")</f>
        <v>1065154935807983617</v>
      </c>
      <c r="F306" s="11" t="s">
        <v>1447</v>
      </c>
      <c r="G306" s="12"/>
      <c r="H306" s="12"/>
      <c r="I306" s="13">
        <v>0</v>
      </c>
      <c r="J306" s="13">
        <v>0</v>
      </c>
      <c r="K306" s="14" t="str">
        <f t="shared" si="108"/>
        <v>Twitter for Android</v>
      </c>
      <c r="L306" s="13">
        <v>82</v>
      </c>
      <c r="M306" s="13">
        <v>268</v>
      </c>
      <c r="N306" s="13">
        <v>0</v>
      </c>
      <c r="O306" s="15"/>
      <c r="P306" s="6">
        <v>43373.076354166667</v>
      </c>
      <c r="Q306" s="12"/>
      <c r="R306" s="17" t="s">
        <v>26</v>
      </c>
      <c r="S306" s="12"/>
      <c r="T306" s="12"/>
      <c r="U306" s="10" t="str">
        <f t="shared" si="110"/>
        <v>View</v>
      </c>
    </row>
    <row r="307" spans="1:21" ht="51">
      <c r="A307" s="6">
        <v>43425.351516203707</v>
      </c>
      <c r="B307" s="7" t="str">
        <f>HYPERLINK("https://twitter.com/altamiranoMLG","@altamiranoMLG")</f>
        <v>@altamiranoMLG</v>
      </c>
      <c r="C307" s="8" t="s">
        <v>887</v>
      </c>
      <c r="D307" s="9" t="s">
        <v>889</v>
      </c>
      <c r="E307" s="10" t="str">
        <f>HYPERLINK("https://twitter.com/altamiranoMLG/status/1065144328337674240","1065144328337674240")</f>
        <v>1065144328337674240</v>
      </c>
      <c r="F307" s="11" t="s">
        <v>891</v>
      </c>
      <c r="G307" s="12"/>
      <c r="H307" s="12"/>
      <c r="I307" s="13">
        <v>23</v>
      </c>
      <c r="J307" s="13">
        <v>34</v>
      </c>
      <c r="K307" s="14" t="str">
        <f>HYPERLINK("http://twitter.com/download/iphone","Twitter for iPhone")</f>
        <v>Twitter for iPhone</v>
      </c>
      <c r="L307" s="13">
        <v>26837</v>
      </c>
      <c r="M307" s="13">
        <v>25975</v>
      </c>
      <c r="N307" s="13">
        <v>104</v>
      </c>
      <c r="O307" s="15"/>
      <c r="P307" s="6">
        <v>41501.953414351854</v>
      </c>
      <c r="Q307" s="16" t="s">
        <v>892</v>
      </c>
      <c r="R307" s="17" t="s">
        <v>893</v>
      </c>
      <c r="S307" s="11" t="s">
        <v>894</v>
      </c>
      <c r="T307" s="12"/>
      <c r="U307" s="10" t="str">
        <f>HYPERLINK("https://pbs.twimg.com/profile_images/972022450786590720/M_Brz1Da.jpg","View")</f>
        <v>View</v>
      </c>
    </row>
    <row r="308" spans="1:21" ht="51">
      <c r="A308" s="6">
        <v>43425.338171296295</v>
      </c>
      <c r="B308" s="7" t="str">
        <f>HYPERLINK("https://twitter.com/trendinaliaES","@trendinaliaES")</f>
        <v>@trendinaliaES</v>
      </c>
      <c r="C308" s="8" t="s">
        <v>265</v>
      </c>
      <c r="D308" s="9" t="s">
        <v>1175</v>
      </c>
      <c r="E308" s="10" t="str">
        <f>HYPERLINK("https://twitter.com/trendinaliaES/status/1065139491621416961","1065139491621416961")</f>
        <v>1065139491621416961</v>
      </c>
      <c r="F308" s="11" t="s">
        <v>1176</v>
      </c>
      <c r="G308" s="12"/>
      <c r="H308" s="12" t="str">
        <f>HYPERLINK("https://ctrlq.org/maps/address/#40.4203,-3.7058","Map")</f>
        <v>Map</v>
      </c>
      <c r="I308" s="13">
        <v>0</v>
      </c>
      <c r="J308" s="13">
        <v>1</v>
      </c>
      <c r="K308" s="14" t="str">
        <f>HYPERLINK("http://laconversa.com","Es Tendencia en España")</f>
        <v>Es Tendencia en España</v>
      </c>
      <c r="L308" s="13">
        <v>49141</v>
      </c>
      <c r="M308" s="13">
        <v>37</v>
      </c>
      <c r="N308" s="13">
        <v>723</v>
      </c>
      <c r="O308" s="23" t="s">
        <v>186</v>
      </c>
      <c r="P308" s="6">
        <v>41319.819074074076</v>
      </c>
      <c r="Q308" s="16" t="s">
        <v>66</v>
      </c>
      <c r="R308" s="17" t="s">
        <v>268</v>
      </c>
      <c r="S308" s="11" t="s">
        <v>269</v>
      </c>
      <c r="T308" s="12"/>
      <c r="U308" s="10" t="str">
        <f>HYPERLINK("https://pbs.twimg.com/profile_images/696485210821632000/xpdMQ_mE.png","View")</f>
        <v>View</v>
      </c>
    </row>
    <row r="309" spans="1:21" ht="51">
      <c r="A309" s="6">
        <v>43425.334027777775</v>
      </c>
      <c r="B309" s="7" t="str">
        <f>HYPERLINK("https://twitter.com/bitMomentum","@bitMomentum")</f>
        <v>@bitMomentum</v>
      </c>
      <c r="C309" s="8" t="s">
        <v>368</v>
      </c>
      <c r="D309" s="9" t="s">
        <v>1177</v>
      </c>
      <c r="E309" s="10" t="str">
        <f>HYPERLINK("https://twitter.com/bitMomentum/status/1065137987250466822","1065137987250466822")</f>
        <v>1065137987250466822</v>
      </c>
      <c r="F309" s="12"/>
      <c r="G309" s="12"/>
      <c r="H309" s="12"/>
      <c r="I309" s="13">
        <v>1</v>
      </c>
      <c r="J309" s="13">
        <v>1</v>
      </c>
      <c r="K309" s="14" t="str">
        <f>HYPERLINK("http://www.bitmomentum.com","bitMomentum Bot")</f>
        <v>bitMomentum Bot</v>
      </c>
      <c r="L309" s="13">
        <v>10132</v>
      </c>
      <c r="M309" s="13">
        <v>1060</v>
      </c>
      <c r="N309" s="13">
        <v>267</v>
      </c>
      <c r="O309" s="15"/>
      <c r="P309" s="6">
        <v>41608.667511574073</v>
      </c>
      <c r="Q309" s="12"/>
      <c r="R309" s="17" t="s">
        <v>371</v>
      </c>
      <c r="S309" s="11" t="s">
        <v>372</v>
      </c>
      <c r="T309" s="12"/>
      <c r="U309" s="10" t="str">
        <f>HYPERLINK("https://pbs.twimg.com/profile_images/378800000862185241/20ij2H3u.png","View")</f>
        <v>View</v>
      </c>
    </row>
    <row r="310" spans="1:21" ht="20.399999999999999">
      <c r="A310" s="6">
        <v>43425.33085648148</v>
      </c>
      <c r="B310" s="7" t="str">
        <f>HYPERLINK("https://twitter.com/maalpo","@maalpo")</f>
        <v>@maalpo</v>
      </c>
      <c r="C310" s="8" t="s">
        <v>1178</v>
      </c>
      <c r="D310" s="9" t="s">
        <v>1179</v>
      </c>
      <c r="E310" s="10" t="str">
        <f>HYPERLINK("https://twitter.com/maalpo/status/1065136839806394368","1065136839806394368")</f>
        <v>1065136839806394368</v>
      </c>
      <c r="F310" s="11" t="s">
        <v>1180</v>
      </c>
      <c r="G310" s="12"/>
      <c r="H310" s="12"/>
      <c r="I310" s="13">
        <v>0</v>
      </c>
      <c r="J310" s="13">
        <v>0</v>
      </c>
      <c r="K310" s="14" t="str">
        <f t="shared" ref="K310:K312" si="111">HYPERLINK("http://twitter.com/download/android","Twitter for Android")</f>
        <v>Twitter for Android</v>
      </c>
      <c r="L310" s="13">
        <v>313</v>
      </c>
      <c r="M310" s="13">
        <v>488</v>
      </c>
      <c r="N310" s="13">
        <v>0</v>
      </c>
      <c r="O310" s="15"/>
      <c r="P310" s="6">
        <v>43260.568182870367</v>
      </c>
      <c r="Q310" s="16" t="s">
        <v>66</v>
      </c>
      <c r="R310" s="17" t="s">
        <v>1181</v>
      </c>
      <c r="S310" s="12"/>
      <c r="T310" s="12"/>
      <c r="U310" s="10" t="str">
        <f>HYPERLINK("https://pbs.twimg.com/profile_images/1049807535585325056/csRioJFl.jpg","View")</f>
        <v>View</v>
      </c>
    </row>
    <row r="311" spans="1:21" ht="40.799999999999997">
      <c r="A311" s="6">
        <v>43425.32545138889</v>
      </c>
      <c r="B311" s="7" t="str">
        <f>HYPERLINK("https://twitter.com/chauchinoo","@chauchinoo")</f>
        <v>@chauchinoo</v>
      </c>
      <c r="C311" s="8" t="s">
        <v>1182</v>
      </c>
      <c r="D311" s="9" t="s">
        <v>1183</v>
      </c>
      <c r="E311" s="10" t="str">
        <f>HYPERLINK("https://twitter.com/chauchinoo/status/1065134882781843456","1065134882781843456")</f>
        <v>1065134882781843456</v>
      </c>
      <c r="F311" s="12"/>
      <c r="G311" s="11" t="s">
        <v>1184</v>
      </c>
      <c r="H311" s="12"/>
      <c r="I311" s="13">
        <v>0</v>
      </c>
      <c r="J311" s="13">
        <v>1</v>
      </c>
      <c r="K311" s="14" t="str">
        <f t="shared" si="111"/>
        <v>Twitter for Android</v>
      </c>
      <c r="L311" s="13">
        <v>516</v>
      </c>
      <c r="M311" s="13">
        <v>1342</v>
      </c>
      <c r="N311" s="13">
        <v>5</v>
      </c>
      <c r="O311" s="15"/>
      <c r="P311" s="6">
        <v>40970.831261574072</v>
      </c>
      <c r="Q311" s="16" t="s">
        <v>1185</v>
      </c>
      <c r="R311" s="17" t="s">
        <v>1186</v>
      </c>
      <c r="S311" s="12"/>
      <c r="T311" s="12"/>
      <c r="U311" s="10" t="str">
        <f>HYPERLINK("https://pbs.twimg.com/profile_images/1003298330837962752/ESrqKH4y.jpg","View")</f>
        <v>View</v>
      </c>
    </row>
    <row r="312" spans="1:21" ht="20.399999999999999">
      <c r="A312" s="6">
        <v>43425.315000000002</v>
      </c>
      <c r="B312" s="7" t="str">
        <f>HYPERLINK("https://twitter.com/TNylaya","@TNylaya")</f>
        <v>@TNylaya</v>
      </c>
      <c r="C312" s="8" t="s">
        <v>21</v>
      </c>
      <c r="D312" s="9" t="s">
        <v>1463</v>
      </c>
      <c r="E312" s="10" t="str">
        <f>HYPERLINK("https://twitter.com/TNylaya/status/1065131094750711808","1065131094750711808")</f>
        <v>1065131094750711808</v>
      </c>
      <c r="F312" s="11" t="s">
        <v>1465</v>
      </c>
      <c r="G312" s="12"/>
      <c r="H312" s="12"/>
      <c r="I312" s="13">
        <v>0</v>
      </c>
      <c r="J312" s="13">
        <v>0</v>
      </c>
      <c r="K312" s="14" t="str">
        <f t="shared" si="111"/>
        <v>Twitter for Android</v>
      </c>
      <c r="L312" s="13">
        <v>82</v>
      </c>
      <c r="M312" s="13">
        <v>268</v>
      </c>
      <c r="N312" s="13">
        <v>0</v>
      </c>
      <c r="O312" s="15"/>
      <c r="P312" s="6">
        <v>43373.076354166667</v>
      </c>
      <c r="Q312" s="12"/>
      <c r="R312" s="17" t="s">
        <v>26</v>
      </c>
      <c r="S312" s="12"/>
      <c r="T312" s="12"/>
      <c r="U312" s="10" t="str">
        <f>HYPERLINK("https://pbs.twimg.com/profile_images/1046188819358322689/x_yItWiC.jpg","View")</f>
        <v>View</v>
      </c>
    </row>
    <row r="313" spans="1:21" ht="102">
      <c r="A313" s="6">
        <v>43425.311921296292</v>
      </c>
      <c r="B313" s="7" t="str">
        <f>HYPERLINK("https://twitter.com/justajusticia36","@justajusticia36")</f>
        <v>@justajusticia36</v>
      </c>
      <c r="C313" s="8" t="s">
        <v>1187</v>
      </c>
      <c r="D313" s="9" t="s">
        <v>1188</v>
      </c>
      <c r="E313" s="10" t="str">
        <f>HYPERLINK("https://twitter.com/justajusticia36/status/1065129976813547520","1065129976813547520")</f>
        <v>1065129976813547520</v>
      </c>
      <c r="F313" s="11" t="s">
        <v>1189</v>
      </c>
      <c r="G313" s="11" t="s">
        <v>1190</v>
      </c>
      <c r="H313" s="12"/>
      <c r="I313" s="13">
        <v>3</v>
      </c>
      <c r="J313" s="13">
        <v>3</v>
      </c>
      <c r="K313" s="14" t="str">
        <f>HYPERLINK("http://twitter.com/download/iphone","Twitter for iPhone")</f>
        <v>Twitter for iPhone</v>
      </c>
      <c r="L313" s="13">
        <v>194</v>
      </c>
      <c r="M313" s="13">
        <v>171</v>
      </c>
      <c r="N313" s="13">
        <v>1</v>
      </c>
      <c r="O313" s="15"/>
      <c r="P313" s="6">
        <v>43336.684571759259</v>
      </c>
      <c r="Q313" s="16" t="s">
        <v>1191</v>
      </c>
      <c r="R313" s="17" t="s">
        <v>1192</v>
      </c>
      <c r="S313" s="12"/>
      <c r="T313" s="12"/>
      <c r="U313" s="10" t="str">
        <f>HYPERLINK("https://pbs.twimg.com/profile_images/1032998201043902465/G0TMqExA.jpg","View")</f>
        <v>View</v>
      </c>
    </row>
    <row r="314" spans="1:21" ht="51">
      <c r="A314" s="6">
        <v>43425.292361111111</v>
      </c>
      <c r="B314" s="7" t="str">
        <f>HYPERLINK("https://twitter.com/bitMomentum","@bitMomentum")</f>
        <v>@bitMomentum</v>
      </c>
      <c r="C314" s="8" t="s">
        <v>368</v>
      </c>
      <c r="D314" s="9" t="s">
        <v>1193</v>
      </c>
      <c r="E314" s="10" t="str">
        <f>HYPERLINK("https://twitter.com/bitMomentum/status/1065122887970037760","1065122887970037760")</f>
        <v>1065122887970037760</v>
      </c>
      <c r="F314" s="12"/>
      <c r="G314" s="12"/>
      <c r="H314" s="12"/>
      <c r="I314" s="13">
        <v>0</v>
      </c>
      <c r="J314" s="13">
        <v>0</v>
      </c>
      <c r="K314" s="14" t="str">
        <f>HYPERLINK("http://www.bitmomentum.com","bitMomentum Bot")</f>
        <v>bitMomentum Bot</v>
      </c>
      <c r="L314" s="13">
        <v>10132</v>
      </c>
      <c r="M314" s="13">
        <v>1060</v>
      </c>
      <c r="N314" s="13">
        <v>267</v>
      </c>
      <c r="O314" s="15"/>
      <c r="P314" s="6">
        <v>41608.667511574073</v>
      </c>
      <c r="Q314" s="12"/>
      <c r="R314" s="17" t="s">
        <v>371</v>
      </c>
      <c r="S314" s="11" t="s">
        <v>372</v>
      </c>
      <c r="T314" s="12"/>
      <c r="U314" s="10" t="str">
        <f>HYPERLINK("https://pbs.twimg.com/profile_images/378800000862185241/20ij2H3u.png","View")</f>
        <v>View</v>
      </c>
    </row>
    <row r="315" spans="1:21" ht="51">
      <c r="A315" s="6">
        <v>43425.287650462968</v>
      </c>
      <c r="B315" s="7" t="str">
        <f>HYPERLINK("https://twitter.com/AndaluzMarrano","@AndaluzMarrano")</f>
        <v>@AndaluzMarrano</v>
      </c>
      <c r="C315" s="8" t="s">
        <v>899</v>
      </c>
      <c r="D315" s="9" t="s">
        <v>900</v>
      </c>
      <c r="E315" s="10" t="str">
        <f>HYPERLINK("https://twitter.com/AndaluzMarrano/status/1065121182305984512","1065121182305984512")</f>
        <v>1065121182305984512</v>
      </c>
      <c r="F315" s="11" t="s">
        <v>901</v>
      </c>
      <c r="G315" s="12"/>
      <c r="H315" s="12"/>
      <c r="I315" s="13">
        <v>0</v>
      </c>
      <c r="J315" s="13">
        <v>0</v>
      </c>
      <c r="K315" s="14" t="str">
        <f>HYPERLINK("http://twitter.com/download/android","Twitter for Android")</f>
        <v>Twitter for Android</v>
      </c>
      <c r="L315" s="13">
        <v>153</v>
      </c>
      <c r="M315" s="13">
        <v>229</v>
      </c>
      <c r="N315" s="13">
        <v>0</v>
      </c>
      <c r="O315" s="15"/>
      <c r="P315" s="6">
        <v>43014.824201388888</v>
      </c>
      <c r="Q315" s="16" t="s">
        <v>904</v>
      </c>
      <c r="R315" s="17" t="s">
        <v>905</v>
      </c>
      <c r="S315" s="12"/>
      <c r="T315" s="12"/>
      <c r="U315" s="10" t="str">
        <f>HYPERLINK("https://pbs.twimg.com/profile_images/1058470434247770113/WF7I3BWf.jpg","View")</f>
        <v>View</v>
      </c>
    </row>
    <row r="316" spans="1:21" ht="20.399999999999999">
      <c r="A316" s="6">
        <v>43425.245208333334</v>
      </c>
      <c r="B316" s="7" t="str">
        <f>HYPERLINK("https://twitter.com/tabarnians","@tabarnians")</f>
        <v>@tabarnians</v>
      </c>
      <c r="C316" s="8" t="s">
        <v>1194</v>
      </c>
      <c r="D316" s="9" t="s">
        <v>1195</v>
      </c>
      <c r="E316" s="10" t="str">
        <f>HYPERLINK("https://twitter.com/tabarnians/status/1065105803441516544","1065105803441516544")</f>
        <v>1065105803441516544</v>
      </c>
      <c r="F316" s="12"/>
      <c r="G316" s="12"/>
      <c r="H316" s="12"/>
      <c r="I316" s="13">
        <v>0</v>
      </c>
      <c r="J316" s="13">
        <v>1</v>
      </c>
      <c r="K316" s="14" t="str">
        <f>HYPERLINK("http://twitter.com/download/iphone","Twitter for iPhone")</f>
        <v>Twitter for iPhone</v>
      </c>
      <c r="L316" s="13">
        <v>981</v>
      </c>
      <c r="M316" s="13">
        <v>321</v>
      </c>
      <c r="N316" s="13">
        <v>0</v>
      </c>
      <c r="O316" s="15"/>
      <c r="P316" s="6">
        <v>43100.446076388893</v>
      </c>
      <c r="Q316" s="16" t="s">
        <v>1196</v>
      </c>
      <c r="R316" s="17" t="s">
        <v>1197</v>
      </c>
      <c r="S316" s="12"/>
      <c r="T316" s="12"/>
      <c r="U316" s="10" t="str">
        <f>HYPERLINK("https://pbs.twimg.com/profile_images/951394540426027008/Bu97fgPm.jpg","View")</f>
        <v>View</v>
      </c>
    </row>
    <row r="317" spans="1:21" ht="40.799999999999997">
      <c r="A317" s="6">
        <v>43425.237175925926</v>
      </c>
      <c r="B317" s="7" t="str">
        <f>HYPERLINK("https://twitter.com/Joseluis9819819","@Joseluis9819819")</f>
        <v>@Joseluis9819819</v>
      </c>
      <c r="C317" s="8" t="s">
        <v>949</v>
      </c>
      <c r="D317" s="9" t="s">
        <v>1198</v>
      </c>
      <c r="E317" s="10" t="str">
        <f>HYPERLINK("https://twitter.com/Joseluis9819819/status/1065102890178629632","1065102890178629632")</f>
        <v>1065102890178629632</v>
      </c>
      <c r="F317" s="12"/>
      <c r="G317" s="11" t="s">
        <v>1199</v>
      </c>
      <c r="H317" s="12"/>
      <c r="I317" s="13">
        <v>0</v>
      </c>
      <c r="J317" s="13">
        <v>0</v>
      </c>
      <c r="K317" s="14" t="str">
        <f t="shared" ref="K317:K318" si="112">HYPERLINK("http://twitter.com","Twitter Web Client")</f>
        <v>Twitter Web Client</v>
      </c>
      <c r="L317" s="13">
        <v>1141</v>
      </c>
      <c r="M317" s="13">
        <v>1198</v>
      </c>
      <c r="N317" s="13">
        <v>4</v>
      </c>
      <c r="O317" s="15"/>
      <c r="P317" s="6">
        <v>42762.810601851852</v>
      </c>
      <c r="Q317" s="16" t="s">
        <v>952</v>
      </c>
      <c r="R317" s="17" t="s">
        <v>953</v>
      </c>
      <c r="S317" s="12"/>
      <c r="T317" s="12"/>
      <c r="U317" s="10" t="str">
        <f>HYPERLINK("https://pbs.twimg.com/profile_images/922507954200416258/mEHj1Ixm.jpg","View")</f>
        <v>View</v>
      </c>
    </row>
    <row r="318" spans="1:21" ht="51">
      <c r="A318" s="6">
        <v>43425.172708333332</v>
      </c>
      <c r="B318" s="7" t="str">
        <f>HYPERLINK("https://twitter.com/Soberuck","@Soberuck")</f>
        <v>@Soberuck</v>
      </c>
      <c r="C318" s="8" t="s">
        <v>1200</v>
      </c>
      <c r="D318" s="9" t="s">
        <v>1202</v>
      </c>
      <c r="E318" s="10" t="str">
        <f>HYPERLINK("https://twitter.com/Soberuck/status/1065079528953978880","1065079528953978880")</f>
        <v>1065079528953978880</v>
      </c>
      <c r="F318" s="12"/>
      <c r="G318" s="12"/>
      <c r="H318" s="12"/>
      <c r="I318" s="13">
        <v>1</v>
      </c>
      <c r="J318" s="13">
        <v>4</v>
      </c>
      <c r="K318" s="14" t="str">
        <f t="shared" si="112"/>
        <v>Twitter Web Client</v>
      </c>
      <c r="L318" s="13">
        <v>183</v>
      </c>
      <c r="M318" s="13">
        <v>129</v>
      </c>
      <c r="N318" s="13">
        <v>3</v>
      </c>
      <c r="O318" s="15"/>
      <c r="P318" s="6">
        <v>40920.773576388892</v>
      </c>
      <c r="Q318" s="16" t="s">
        <v>1205</v>
      </c>
      <c r="R318" s="17" t="s">
        <v>1206</v>
      </c>
      <c r="S318" s="11" t="s">
        <v>1207</v>
      </c>
      <c r="T318" s="12"/>
      <c r="U318" s="10" t="str">
        <f>HYPERLINK("https://pbs.twimg.com/profile_images/1052617945610969089/2oOJsGdg.jpg","View")</f>
        <v>View</v>
      </c>
    </row>
    <row r="319" spans="1:21" ht="51">
      <c r="A319" s="6">
        <v>43425.16805555555</v>
      </c>
      <c r="B319" s="7" t="str">
        <f t="shared" ref="B319:B322" si="113">HYPERLINK("https://twitter.com/bitMomentum","@bitMomentum")</f>
        <v>@bitMomentum</v>
      </c>
      <c r="C319" s="8" t="s">
        <v>368</v>
      </c>
      <c r="D319" s="9" t="s">
        <v>1210</v>
      </c>
      <c r="E319" s="10" t="str">
        <f>HYPERLINK("https://twitter.com/bitMomentum/status/1065077841098878976","1065077841098878976")</f>
        <v>1065077841098878976</v>
      </c>
      <c r="F319" s="12"/>
      <c r="G319" s="12"/>
      <c r="H319" s="12"/>
      <c r="I319" s="13">
        <v>0</v>
      </c>
      <c r="J319" s="13">
        <v>0</v>
      </c>
      <c r="K319" s="14" t="str">
        <f t="shared" ref="K319:K322" si="114">HYPERLINK("http://www.bitmomentum.com","bitMomentum Bot")</f>
        <v>bitMomentum Bot</v>
      </c>
      <c r="L319" s="13">
        <v>10132</v>
      </c>
      <c r="M319" s="13">
        <v>1060</v>
      </c>
      <c r="N319" s="13">
        <v>267</v>
      </c>
      <c r="O319" s="15"/>
      <c r="P319" s="6">
        <v>41608.667511574073</v>
      </c>
      <c r="Q319" s="12"/>
      <c r="R319" s="17" t="s">
        <v>371</v>
      </c>
      <c r="S319" s="11" t="s">
        <v>372</v>
      </c>
      <c r="T319" s="12"/>
      <c r="U319" s="10" t="str">
        <f t="shared" ref="U319:U322" si="115">HYPERLINK("https://pbs.twimg.com/profile_images/378800000862185241/20ij2H3u.png","View")</f>
        <v>View</v>
      </c>
    </row>
    <row r="320" spans="1:21" ht="51">
      <c r="A320" s="6">
        <v>43425.167361111111</v>
      </c>
      <c r="B320" s="7" t="str">
        <f t="shared" si="113"/>
        <v>@bitMomentum</v>
      </c>
      <c r="C320" s="8" t="s">
        <v>368</v>
      </c>
      <c r="D320" s="9" t="s">
        <v>1211</v>
      </c>
      <c r="E320" s="10" t="str">
        <f>HYPERLINK("https://twitter.com/bitMomentum/status/1065077589440638976","1065077589440638976")</f>
        <v>1065077589440638976</v>
      </c>
      <c r="F320" s="12"/>
      <c r="G320" s="12"/>
      <c r="H320" s="12"/>
      <c r="I320" s="13">
        <v>0</v>
      </c>
      <c r="J320" s="13">
        <v>0</v>
      </c>
      <c r="K320" s="14" t="str">
        <f t="shared" si="114"/>
        <v>bitMomentum Bot</v>
      </c>
      <c r="L320" s="13">
        <v>10132</v>
      </c>
      <c r="M320" s="13">
        <v>1060</v>
      </c>
      <c r="N320" s="13">
        <v>267</v>
      </c>
      <c r="O320" s="15"/>
      <c r="P320" s="6">
        <v>41608.667511574073</v>
      </c>
      <c r="Q320" s="12"/>
      <c r="R320" s="17" t="s">
        <v>371</v>
      </c>
      <c r="S320" s="11" t="s">
        <v>372</v>
      </c>
      <c r="T320" s="12"/>
      <c r="U320" s="10" t="str">
        <f t="shared" si="115"/>
        <v>View</v>
      </c>
    </row>
    <row r="321" spans="1:21" ht="51">
      <c r="A321" s="6">
        <v>43425.126388888893</v>
      </c>
      <c r="B321" s="7" t="str">
        <f t="shared" si="113"/>
        <v>@bitMomentum</v>
      </c>
      <c r="C321" s="8" t="s">
        <v>368</v>
      </c>
      <c r="D321" s="9" t="s">
        <v>1212</v>
      </c>
      <c r="E321" s="10" t="str">
        <f>HYPERLINK("https://twitter.com/bitMomentum/status/1065062741428326400","1065062741428326400")</f>
        <v>1065062741428326400</v>
      </c>
      <c r="F321" s="12"/>
      <c r="G321" s="12"/>
      <c r="H321" s="12"/>
      <c r="I321" s="13">
        <v>0</v>
      </c>
      <c r="J321" s="13">
        <v>0</v>
      </c>
      <c r="K321" s="14" t="str">
        <f t="shared" si="114"/>
        <v>bitMomentum Bot</v>
      </c>
      <c r="L321" s="13">
        <v>10132</v>
      </c>
      <c r="M321" s="13">
        <v>1060</v>
      </c>
      <c r="N321" s="13">
        <v>267</v>
      </c>
      <c r="O321" s="15"/>
      <c r="P321" s="6">
        <v>41608.667511574073</v>
      </c>
      <c r="Q321" s="12"/>
      <c r="R321" s="17" t="s">
        <v>371</v>
      </c>
      <c r="S321" s="11" t="s">
        <v>372</v>
      </c>
      <c r="T321" s="12"/>
      <c r="U321" s="10" t="str">
        <f t="shared" si="115"/>
        <v>View</v>
      </c>
    </row>
    <row r="322" spans="1:21" ht="51">
      <c r="A322" s="6">
        <v>43425.125694444447</v>
      </c>
      <c r="B322" s="7" t="str">
        <f t="shared" si="113"/>
        <v>@bitMomentum</v>
      </c>
      <c r="C322" s="8" t="s">
        <v>368</v>
      </c>
      <c r="D322" s="9" t="s">
        <v>1216</v>
      </c>
      <c r="E322" s="10" t="str">
        <f>HYPERLINK("https://twitter.com/bitMomentum/status/1065062489866543104","1065062489866543104")</f>
        <v>1065062489866543104</v>
      </c>
      <c r="F322" s="12"/>
      <c r="G322" s="12"/>
      <c r="H322" s="12"/>
      <c r="I322" s="13">
        <v>0</v>
      </c>
      <c r="J322" s="13">
        <v>0</v>
      </c>
      <c r="K322" s="14" t="str">
        <f t="shared" si="114"/>
        <v>bitMomentum Bot</v>
      </c>
      <c r="L322" s="13">
        <v>10132</v>
      </c>
      <c r="M322" s="13">
        <v>1060</v>
      </c>
      <c r="N322" s="13">
        <v>267</v>
      </c>
      <c r="O322" s="15"/>
      <c r="P322" s="6">
        <v>41608.667511574073</v>
      </c>
      <c r="Q322" s="12"/>
      <c r="R322" s="17" t="s">
        <v>371</v>
      </c>
      <c r="S322" s="11" t="s">
        <v>372</v>
      </c>
      <c r="T322" s="12"/>
      <c r="U322" s="10" t="str">
        <f t="shared" si="115"/>
        <v>View</v>
      </c>
    </row>
    <row r="323" spans="1:21" ht="81.599999999999994">
      <c r="A323" s="6">
        <v>43425.112245370372</v>
      </c>
      <c r="B323" s="7" t="str">
        <f>HYPERLINK("https://twitter.com/VcruedagC","@VcruedagC")</f>
        <v>@VcruedagC</v>
      </c>
      <c r="C323" s="8" t="s">
        <v>739</v>
      </c>
      <c r="D323" s="9" t="s">
        <v>1223</v>
      </c>
      <c r="E323" s="10" t="str">
        <f>HYPERLINK("https://twitter.com/VcruedagC/status/1065057617989562368","1065057617989562368")</f>
        <v>1065057617989562368</v>
      </c>
      <c r="F323" s="11" t="s">
        <v>1224</v>
      </c>
      <c r="G323" s="12"/>
      <c r="H323" s="12"/>
      <c r="I323" s="13">
        <v>0</v>
      </c>
      <c r="J323" s="13">
        <v>0</v>
      </c>
      <c r="K323" s="14" t="str">
        <f t="shared" ref="K323:K324" si="116">HYPERLINK("http://twitter.com/download/android","Twitter for Android")</f>
        <v>Twitter for Android</v>
      </c>
      <c r="L323" s="13">
        <v>121</v>
      </c>
      <c r="M323" s="13">
        <v>96</v>
      </c>
      <c r="N323" s="13">
        <v>3</v>
      </c>
      <c r="O323" s="15"/>
      <c r="P323" s="6">
        <v>40705.877175925925</v>
      </c>
      <c r="Q323" s="16" t="s">
        <v>66</v>
      </c>
      <c r="R323" s="17" t="s">
        <v>743</v>
      </c>
      <c r="S323" s="12"/>
      <c r="T323" s="12"/>
      <c r="U323" s="10" t="str">
        <f>HYPERLINK("https://pbs.twimg.com/profile_images/1000100108887830529/Vaqv1c2Q.jpg","View")</f>
        <v>View</v>
      </c>
    </row>
    <row r="324" spans="1:21" ht="91.8">
      <c r="A324" s="6">
        <v>43425.098460648151</v>
      </c>
      <c r="B324" s="7" t="str">
        <f>HYPERLINK("https://twitter.com/SahndrahFdrah","@SahndrahFdrah")</f>
        <v>@SahndrahFdrah</v>
      </c>
      <c r="C324" s="8" t="s">
        <v>1232</v>
      </c>
      <c r="D324" s="9" t="s">
        <v>1233</v>
      </c>
      <c r="E324" s="10" t="str">
        <f>HYPERLINK("https://twitter.com/SahndrahFdrah/status/1065052623458439168","1065052623458439168")</f>
        <v>1065052623458439168</v>
      </c>
      <c r="F324" s="11" t="s">
        <v>1235</v>
      </c>
      <c r="G324" s="11" t="s">
        <v>1236</v>
      </c>
      <c r="H324" s="12"/>
      <c r="I324" s="13">
        <v>0</v>
      </c>
      <c r="J324" s="13">
        <v>0</v>
      </c>
      <c r="K324" s="14" t="str">
        <f t="shared" si="116"/>
        <v>Twitter for Android</v>
      </c>
      <c r="L324" s="13">
        <v>786</v>
      </c>
      <c r="M324" s="13">
        <v>680</v>
      </c>
      <c r="N324" s="13">
        <v>14</v>
      </c>
      <c r="O324" s="15"/>
      <c r="P324" s="6">
        <v>42314.064907407403</v>
      </c>
      <c r="Q324" s="16" t="s">
        <v>644</v>
      </c>
      <c r="R324" s="17" t="s">
        <v>1238</v>
      </c>
      <c r="S324" s="12"/>
      <c r="T324" s="12"/>
      <c r="U324" s="10" t="str">
        <f>HYPERLINK("https://pbs.twimg.com/profile_images/1013619271027523584/Jevwgu-0.jpg","View")</f>
        <v>View</v>
      </c>
    </row>
    <row r="325" spans="1:21" ht="51">
      <c r="A325" s="6">
        <v>43425.084027777775</v>
      </c>
      <c r="B325" s="7" t="str">
        <f>HYPERLINK("https://twitter.com/bitMomentum","@bitMomentum")</f>
        <v>@bitMomentum</v>
      </c>
      <c r="C325" s="8" t="s">
        <v>368</v>
      </c>
      <c r="D325" s="9" t="s">
        <v>1242</v>
      </c>
      <c r="E325" s="10" t="str">
        <f>HYPERLINK("https://twitter.com/bitMomentum/status/1065047390351237120","1065047390351237120")</f>
        <v>1065047390351237120</v>
      </c>
      <c r="F325" s="12"/>
      <c r="G325" s="12"/>
      <c r="H325" s="12"/>
      <c r="I325" s="13">
        <v>0</v>
      </c>
      <c r="J325" s="13">
        <v>0</v>
      </c>
      <c r="K325" s="14" t="str">
        <f>HYPERLINK("http://www.bitmomentum.com","bitMomentum Bot")</f>
        <v>bitMomentum Bot</v>
      </c>
      <c r="L325" s="13">
        <v>10132</v>
      </c>
      <c r="M325" s="13">
        <v>1060</v>
      </c>
      <c r="N325" s="13">
        <v>267</v>
      </c>
      <c r="O325" s="15"/>
      <c r="P325" s="6">
        <v>41608.667511574073</v>
      </c>
      <c r="Q325" s="12"/>
      <c r="R325" s="17" t="s">
        <v>371</v>
      </c>
      <c r="S325" s="11" t="s">
        <v>372</v>
      </c>
      <c r="T325" s="12"/>
      <c r="U325" s="10" t="str">
        <f>HYPERLINK("https://pbs.twimg.com/profile_images/378800000862185241/20ij2H3u.png","View")</f>
        <v>View</v>
      </c>
    </row>
    <row r="326" spans="1:21" ht="20.399999999999999">
      <c r="A326" s="6">
        <v>43425.065775462965</v>
      </c>
      <c r="B326" s="7" t="str">
        <f>HYPERLINK("https://twitter.com/Jardiner_","@Jardiner_")</f>
        <v>@Jardiner_</v>
      </c>
      <c r="C326" s="8" t="s">
        <v>334</v>
      </c>
      <c r="D326" s="9" t="s">
        <v>1248</v>
      </c>
      <c r="E326" s="10" t="str">
        <f>HYPERLINK("https://twitter.com/Jardiner_/status/1065040777473077248","1065040777473077248")</f>
        <v>1065040777473077248</v>
      </c>
      <c r="F326" s="12"/>
      <c r="G326" s="12"/>
      <c r="H326" s="12"/>
      <c r="I326" s="13">
        <v>1</v>
      </c>
      <c r="J326" s="13">
        <v>6</v>
      </c>
      <c r="K326" s="14" t="str">
        <f>HYPERLINK("http://twitter.com/download/android","Twitter for Android")</f>
        <v>Twitter for Android</v>
      </c>
      <c r="L326" s="13">
        <v>9273</v>
      </c>
      <c r="M326" s="13">
        <v>406</v>
      </c>
      <c r="N326" s="13">
        <v>106</v>
      </c>
      <c r="O326" s="15"/>
      <c r="P326" s="6">
        <v>41676.696099537039</v>
      </c>
      <c r="Q326" s="16" t="s">
        <v>336</v>
      </c>
      <c r="R326" s="17" t="s">
        <v>337</v>
      </c>
      <c r="S326" s="12"/>
      <c r="T326" s="12"/>
      <c r="U326" s="10" t="str">
        <f>HYPERLINK("https://pbs.twimg.com/profile_images/1056488150925787136/N7j0Y8mC.jpg","View")</f>
        <v>View</v>
      </c>
    </row>
    <row r="327" spans="1:21" ht="20.399999999999999">
      <c r="A327" s="6">
        <v>43425.057951388888</v>
      </c>
      <c r="B327" s="7" t="str">
        <f>HYPERLINK("https://twitter.com/eljospri","@eljospri")</f>
        <v>@eljospri</v>
      </c>
      <c r="C327" s="8" t="s">
        <v>1516</v>
      </c>
      <c r="D327" s="9" t="s">
        <v>1517</v>
      </c>
      <c r="E327" s="10" t="str">
        <f>HYPERLINK("https://twitter.com/eljospri/status/1065037940982726656","1065037940982726656")</f>
        <v>1065037940982726656</v>
      </c>
      <c r="F327" s="11" t="s">
        <v>540</v>
      </c>
      <c r="G327" s="11" t="s">
        <v>542</v>
      </c>
      <c r="H327" s="12"/>
      <c r="I327" s="13">
        <v>0</v>
      </c>
      <c r="J327" s="13">
        <v>2</v>
      </c>
      <c r="K327" s="14" t="str">
        <f>HYPERLINK("http://twitter.com","Twitter Web Client")</f>
        <v>Twitter Web Client</v>
      </c>
      <c r="L327" s="13">
        <v>457</v>
      </c>
      <c r="M327" s="13">
        <v>345</v>
      </c>
      <c r="N327" s="13">
        <v>19</v>
      </c>
      <c r="O327" s="15"/>
      <c r="P327" s="6">
        <v>41565.783321759256</v>
      </c>
      <c r="Q327" s="16" t="s">
        <v>1519</v>
      </c>
      <c r="R327" s="17" t="s">
        <v>1520</v>
      </c>
      <c r="S327" s="12"/>
      <c r="T327" s="12"/>
      <c r="U327" s="10" t="str">
        <f>HYPERLINK("https://pbs.twimg.com/profile_images/1045439129033428992/9OUvotqz.jpg","View")</f>
        <v>View</v>
      </c>
    </row>
    <row r="328" spans="1:21" ht="30.6">
      <c r="A328" s="6">
        <v>43425.05636574074</v>
      </c>
      <c r="B328" s="7" t="str">
        <f>HYPERLINK("https://twitter.com/Duelelab","@Duelelab")</f>
        <v>@Duelelab</v>
      </c>
      <c r="C328" s="8" t="s">
        <v>1254</v>
      </c>
      <c r="D328" s="9" t="s">
        <v>1255</v>
      </c>
      <c r="E328" s="10" t="str">
        <f>HYPERLINK("https://twitter.com/Duelelab/status/1065037365700411392","1065037365700411392")</f>
        <v>1065037365700411392</v>
      </c>
      <c r="F328" s="12"/>
      <c r="G328" s="12"/>
      <c r="H328" s="12"/>
      <c r="I328" s="13">
        <v>18</v>
      </c>
      <c r="J328" s="13">
        <v>62</v>
      </c>
      <c r="K328" s="14" t="str">
        <f t="shared" ref="K328:K329" si="117">HYPERLINK("http://twitter.com/download/android","Twitter for Android")</f>
        <v>Twitter for Android</v>
      </c>
      <c r="L328" s="13">
        <v>10113</v>
      </c>
      <c r="M328" s="13">
        <v>3422</v>
      </c>
      <c r="N328" s="13">
        <v>104</v>
      </c>
      <c r="O328" s="15"/>
      <c r="P328" s="6">
        <v>41830.764004629629</v>
      </c>
      <c r="Q328" s="12"/>
      <c r="R328" s="17" t="s">
        <v>1256</v>
      </c>
      <c r="S328" s="12"/>
      <c r="T328" s="12"/>
      <c r="U328" s="10" t="str">
        <f>HYPERLINK("https://pbs.twimg.com/profile_images/914050990097223680/V25T08jL.jpg","View")</f>
        <v>View</v>
      </c>
    </row>
    <row r="329" spans="1:21" ht="51">
      <c r="A329" s="6">
        <v>43425.055451388893</v>
      </c>
      <c r="B329" s="7" t="str">
        <f>HYPERLINK("https://twitter.com/Santi_ABASCAL","@Santi_ABASCAL")</f>
        <v>@Santi_ABASCAL</v>
      </c>
      <c r="C329" s="8" t="s">
        <v>182</v>
      </c>
      <c r="D329" s="9" t="s">
        <v>1532</v>
      </c>
      <c r="E329" s="10" t="str">
        <f>HYPERLINK("https://twitter.com/Santi_ABASCAL/status/1065037034681761792","1065037034681761792")</f>
        <v>1065037034681761792</v>
      </c>
      <c r="F329" s="12"/>
      <c r="G329" s="11" t="s">
        <v>1535</v>
      </c>
      <c r="H329" s="12"/>
      <c r="I329" s="13">
        <v>533</v>
      </c>
      <c r="J329" s="13">
        <v>1177</v>
      </c>
      <c r="K329" s="14" t="str">
        <f t="shared" si="117"/>
        <v>Twitter for Android</v>
      </c>
      <c r="L329" s="13">
        <v>117602</v>
      </c>
      <c r="M329" s="13">
        <v>3896</v>
      </c>
      <c r="N329" s="13">
        <v>915</v>
      </c>
      <c r="O329" s="23" t="s">
        <v>186</v>
      </c>
      <c r="P329" s="6">
        <v>40606.716446759259</v>
      </c>
      <c r="Q329" s="16" t="s">
        <v>188</v>
      </c>
      <c r="R329" s="17" t="s">
        <v>189</v>
      </c>
      <c r="S329" s="11" t="s">
        <v>190</v>
      </c>
      <c r="T329" s="12"/>
      <c r="U329" s="10" t="str">
        <f>HYPERLINK("https://pbs.twimg.com/profile_images/1010488787686879232/2CnqYKlD.jpg","View")</f>
        <v>View</v>
      </c>
    </row>
    <row r="330" spans="1:21" ht="61.2">
      <c r="A330" s="6">
        <v>43425.047314814816</v>
      </c>
      <c r="B330" s="7" t="str">
        <f>HYPERLINK("https://twitter.com/Cuetano68","@Cuetano68")</f>
        <v>@Cuetano68</v>
      </c>
      <c r="C330" s="8" t="s">
        <v>70</v>
      </c>
      <c r="D330" s="9" t="s">
        <v>1262</v>
      </c>
      <c r="E330" s="10" t="str">
        <f>HYPERLINK("https://twitter.com/Cuetano68/status/1065034087675715587","1065034087675715587")</f>
        <v>1065034087675715587</v>
      </c>
      <c r="F330" s="12"/>
      <c r="G330" s="11" t="s">
        <v>1265</v>
      </c>
      <c r="H330" s="12"/>
      <c r="I330" s="13">
        <v>8</v>
      </c>
      <c r="J330" s="13">
        <v>2</v>
      </c>
      <c r="K330" s="14" t="str">
        <f>HYPERLINK("http://twitter.com","Twitter Web Client")</f>
        <v>Twitter Web Client</v>
      </c>
      <c r="L330" s="13">
        <v>5832</v>
      </c>
      <c r="M330" s="13">
        <v>6113</v>
      </c>
      <c r="N330" s="13">
        <v>121</v>
      </c>
      <c r="O330" s="15"/>
      <c r="P330" s="6">
        <v>40725.851666666669</v>
      </c>
      <c r="Q330" s="16" t="s">
        <v>74</v>
      </c>
      <c r="R330" s="17" t="s">
        <v>75</v>
      </c>
      <c r="S330" s="11" t="s">
        <v>76</v>
      </c>
      <c r="T330" s="12"/>
      <c r="U330" s="10" t="str">
        <f>HYPERLINK("https://pbs.twimg.com/profile_images/900511161799639040/5J9IE4Yv.jpg","View")</f>
        <v>View</v>
      </c>
    </row>
    <row r="331" spans="1:21" ht="91.8">
      <c r="A331" s="6">
        <v>43425.040081018524</v>
      </c>
      <c r="B331" s="7" t="str">
        <f>HYPERLINK("https://twitter.com/Pepelu_Fdez","@Pepelu_Fdez")</f>
        <v>@Pepelu_Fdez</v>
      </c>
      <c r="C331" s="8" t="s">
        <v>1269</v>
      </c>
      <c r="D331" s="9" t="s">
        <v>1270</v>
      </c>
      <c r="E331" s="10" t="str">
        <f>HYPERLINK("https://twitter.com/Pepelu_Fdez/status/1065031464667017216","1065031464667017216")</f>
        <v>1065031464667017216</v>
      </c>
      <c r="F331" s="11" t="s">
        <v>1272</v>
      </c>
      <c r="G331" s="11" t="s">
        <v>1276</v>
      </c>
      <c r="H331" s="12"/>
      <c r="I331" s="13">
        <v>1</v>
      </c>
      <c r="J331" s="13">
        <v>3</v>
      </c>
      <c r="K331" s="14" t="str">
        <f>HYPERLINK("https://mobile.twitter.com","Twitter Lite")</f>
        <v>Twitter Lite</v>
      </c>
      <c r="L331" s="13">
        <v>656</v>
      </c>
      <c r="M331" s="13">
        <v>519</v>
      </c>
      <c r="N331" s="13">
        <v>3</v>
      </c>
      <c r="O331" s="15"/>
      <c r="P331" s="6">
        <v>40184.845763888887</v>
      </c>
      <c r="Q331" s="16" t="s">
        <v>1277</v>
      </c>
      <c r="R331" s="17" t="s">
        <v>1278</v>
      </c>
      <c r="S331" s="12"/>
      <c r="T331" s="12"/>
      <c r="U331" s="10" t="str">
        <f>HYPERLINK("https://pbs.twimg.com/profile_images/1065284700556677122/OR-e6n1n.jpg","View")</f>
        <v>View</v>
      </c>
    </row>
    <row r="332" spans="1:21" ht="51">
      <c r="A332" s="6">
        <v>43425.03502314815</v>
      </c>
      <c r="B332" s="7" t="str">
        <f t="shared" ref="B332:B333" si="118">HYPERLINK("https://twitter.com/jmsalvade","@jmsalvade")</f>
        <v>@jmsalvade</v>
      </c>
      <c r="C332" s="8" t="s">
        <v>611</v>
      </c>
      <c r="D332" s="9" t="s">
        <v>1280</v>
      </c>
      <c r="E332" s="10" t="str">
        <f>HYPERLINK("https://twitter.com/jmsalvade/status/1065029631114452992","1065029631114452992")</f>
        <v>1065029631114452992</v>
      </c>
      <c r="F332" s="11" t="s">
        <v>1281</v>
      </c>
      <c r="G332" s="11" t="s">
        <v>1282</v>
      </c>
      <c r="H332" s="12"/>
      <c r="I332" s="13">
        <v>0</v>
      </c>
      <c r="J332" s="13">
        <v>0</v>
      </c>
      <c r="K332" s="14" t="str">
        <f t="shared" ref="K332:K335" si="119">HYPERLINK("http://twitter.com/download/iphone","Twitter for iPhone")</f>
        <v>Twitter for iPhone</v>
      </c>
      <c r="L332" s="13">
        <v>361</v>
      </c>
      <c r="M332" s="13">
        <v>693</v>
      </c>
      <c r="N332" s="13">
        <v>15</v>
      </c>
      <c r="O332" s="15"/>
      <c r="P332" s="6">
        <v>41260.869745370372</v>
      </c>
      <c r="Q332" s="12"/>
      <c r="R332" s="17" t="s">
        <v>615</v>
      </c>
      <c r="S332" s="11" t="s">
        <v>616</v>
      </c>
      <c r="T332" s="12"/>
      <c r="U332" s="10" t="str">
        <f t="shared" ref="U332:U333" si="120">HYPERLINK("https://pbs.twimg.com/profile_images/455739214663917568/tdXuqCOx.jpeg","View")</f>
        <v>View</v>
      </c>
    </row>
    <row r="333" spans="1:21" ht="61.2">
      <c r="A333" s="6">
        <v>43425.030775462961</v>
      </c>
      <c r="B333" s="7" t="str">
        <f t="shared" si="118"/>
        <v>@jmsalvade</v>
      </c>
      <c r="C333" s="8" t="s">
        <v>611</v>
      </c>
      <c r="D333" s="9" t="s">
        <v>1283</v>
      </c>
      <c r="E333" s="10" t="str">
        <f>HYPERLINK("https://twitter.com/jmsalvade/status/1065028092140371969","1065028092140371969")</f>
        <v>1065028092140371969</v>
      </c>
      <c r="F333" s="16" t="s">
        <v>1285</v>
      </c>
      <c r="G333" s="12"/>
      <c r="H333" s="12"/>
      <c r="I333" s="13">
        <v>0</v>
      </c>
      <c r="J333" s="13">
        <v>1</v>
      </c>
      <c r="K333" s="14" t="str">
        <f t="shared" si="119"/>
        <v>Twitter for iPhone</v>
      </c>
      <c r="L333" s="13">
        <v>361</v>
      </c>
      <c r="M333" s="13">
        <v>693</v>
      </c>
      <c r="N333" s="13">
        <v>15</v>
      </c>
      <c r="O333" s="15"/>
      <c r="P333" s="6">
        <v>41260.869745370372</v>
      </c>
      <c r="Q333" s="12"/>
      <c r="R333" s="17" t="s">
        <v>615</v>
      </c>
      <c r="S333" s="11" t="s">
        <v>616</v>
      </c>
      <c r="T333" s="12"/>
      <c r="U333" s="10" t="str">
        <f t="shared" si="120"/>
        <v>View</v>
      </c>
    </row>
    <row r="334" spans="1:21" ht="40.799999999999997">
      <c r="A334" s="6">
        <v>43425.028460648144</v>
      </c>
      <c r="B334" s="7" t="str">
        <f>HYPERLINK("https://twitter.com/007JamesBoon","@007JamesBoon")</f>
        <v>@007JamesBoon</v>
      </c>
      <c r="C334" s="8" t="s">
        <v>1287</v>
      </c>
      <c r="D334" s="9" t="s">
        <v>1288</v>
      </c>
      <c r="E334" s="10" t="str">
        <f>HYPERLINK("https://twitter.com/007JamesBoon/status/1065027254743388160","1065027254743388160")</f>
        <v>1065027254743388160</v>
      </c>
      <c r="F334" s="11" t="s">
        <v>1292</v>
      </c>
      <c r="G334" s="12"/>
      <c r="H334" s="12"/>
      <c r="I334" s="13">
        <v>0</v>
      </c>
      <c r="J334" s="13">
        <v>0</v>
      </c>
      <c r="K334" s="14" t="str">
        <f t="shared" si="119"/>
        <v>Twitter for iPhone</v>
      </c>
      <c r="L334" s="13">
        <v>49</v>
      </c>
      <c r="M334" s="13">
        <v>382</v>
      </c>
      <c r="N334" s="13">
        <v>0</v>
      </c>
      <c r="O334" s="15"/>
      <c r="P334" s="6">
        <v>43010.668425925927</v>
      </c>
      <c r="Q334" s="12"/>
      <c r="R334" s="17" t="s">
        <v>1293</v>
      </c>
      <c r="S334" s="12"/>
      <c r="T334" s="12"/>
      <c r="U334" s="10" t="str">
        <f>HYPERLINK("https://pbs.twimg.com/profile_images/1034198868395810816/7-ydsnDS.jpg","View")</f>
        <v>View</v>
      </c>
    </row>
    <row r="335" spans="1:21" ht="20.399999999999999">
      <c r="A335" s="6">
        <v>43425.022546296299</v>
      </c>
      <c r="B335" s="7" t="str">
        <f>HYPERLINK("https://twitter.com/jmsalvade","@jmsalvade")</f>
        <v>@jmsalvade</v>
      </c>
      <c r="C335" s="8" t="s">
        <v>611</v>
      </c>
      <c r="D335" s="9" t="s">
        <v>1294</v>
      </c>
      <c r="E335" s="10" t="str">
        <f>HYPERLINK("https://twitter.com/jmsalvade/status/1065025109914730496","1065025109914730496")</f>
        <v>1065025109914730496</v>
      </c>
      <c r="F335" s="11" t="s">
        <v>1295</v>
      </c>
      <c r="G335" s="12"/>
      <c r="H335" s="12"/>
      <c r="I335" s="13">
        <v>0</v>
      </c>
      <c r="J335" s="13">
        <v>0</v>
      </c>
      <c r="K335" s="14" t="str">
        <f t="shared" si="119"/>
        <v>Twitter for iPhone</v>
      </c>
      <c r="L335" s="13">
        <v>361</v>
      </c>
      <c r="M335" s="13">
        <v>693</v>
      </c>
      <c r="N335" s="13">
        <v>15</v>
      </c>
      <c r="O335" s="15"/>
      <c r="P335" s="6">
        <v>41260.869745370372</v>
      </c>
      <c r="Q335" s="12"/>
      <c r="R335" s="17" t="s">
        <v>615</v>
      </c>
      <c r="S335" s="11" t="s">
        <v>616</v>
      </c>
      <c r="T335" s="12"/>
      <c r="U335" s="10" t="str">
        <f>HYPERLINK("https://pbs.twimg.com/profile_images/455739214663917568/tdXuqCOx.jpeg","View")</f>
        <v>View</v>
      </c>
    </row>
    <row r="336" spans="1:21" ht="40.799999999999997">
      <c r="A336" s="6">
        <v>43425.006145833337</v>
      </c>
      <c r="B336" s="7" t="str">
        <f>HYPERLINK("https://twitter.com/ARMANII_78","@ARMANII_78")</f>
        <v>@ARMANII_78</v>
      </c>
      <c r="C336" s="8" t="s">
        <v>1296</v>
      </c>
      <c r="D336" s="9" t="s">
        <v>1297</v>
      </c>
      <c r="E336" s="10" t="str">
        <f>HYPERLINK("https://twitter.com/ARMANII_78/status/1065019170167943170","1065019170167943170")</f>
        <v>1065019170167943170</v>
      </c>
      <c r="F336" s="12"/>
      <c r="G336" s="11" t="s">
        <v>1298</v>
      </c>
      <c r="H336" s="12"/>
      <c r="I336" s="13">
        <v>30</v>
      </c>
      <c r="J336" s="13">
        <v>44</v>
      </c>
      <c r="K336" s="14" t="str">
        <f t="shared" ref="K336:K337" si="121">HYPERLINK("http://twitter.com/download/android","Twitter for Android")</f>
        <v>Twitter for Android</v>
      </c>
      <c r="L336" s="13">
        <v>45</v>
      </c>
      <c r="M336" s="13">
        <v>184</v>
      </c>
      <c r="N336" s="13">
        <v>0</v>
      </c>
      <c r="O336" s="15"/>
      <c r="P336" s="6">
        <v>42400.790289351848</v>
      </c>
      <c r="Q336" s="16" t="s">
        <v>66</v>
      </c>
      <c r="R336" s="21"/>
      <c r="S336" s="12"/>
      <c r="T336" s="12"/>
      <c r="U336" s="10" t="str">
        <f>HYPERLINK("https://pbs.twimg.com/profile_images/950567552438231041/4XuPpwVJ.jpg","View")</f>
        <v>View</v>
      </c>
    </row>
    <row r="337" spans="1:21" ht="51">
      <c r="A337" s="6">
        <v>43425.003472222219</v>
      </c>
      <c r="B337" s="7" t="str">
        <f>HYPERLINK("https://twitter.com/azotedelaspicas","@azotedelaspicas")</f>
        <v>@azotedelaspicas</v>
      </c>
      <c r="C337" s="8" t="s">
        <v>1299</v>
      </c>
      <c r="D337" s="9" t="s">
        <v>1300</v>
      </c>
      <c r="E337" s="10" t="str">
        <f>HYPERLINK("https://twitter.com/azotedelaspicas/status/1065018197722710016","1065018197722710016")</f>
        <v>1065018197722710016</v>
      </c>
      <c r="F337" s="12"/>
      <c r="G337" s="12"/>
      <c r="H337" s="12"/>
      <c r="I337" s="13">
        <v>0</v>
      </c>
      <c r="J337" s="13">
        <v>0</v>
      </c>
      <c r="K337" s="14" t="str">
        <f t="shared" si="121"/>
        <v>Twitter for Android</v>
      </c>
      <c r="L337" s="13">
        <v>205</v>
      </c>
      <c r="M337" s="13">
        <v>269</v>
      </c>
      <c r="N337" s="13">
        <v>0</v>
      </c>
      <c r="O337" s="15"/>
      <c r="P337" s="6">
        <v>42611.434756944444</v>
      </c>
      <c r="Q337" s="12"/>
      <c r="R337" s="17" t="s">
        <v>1301</v>
      </c>
      <c r="S337" s="12"/>
      <c r="T337" s="12"/>
      <c r="U337" s="10" t="str">
        <f>HYPERLINK("https://pbs.twimg.com/profile_images/959751488934379520/lMZJThjK.jpg","View")</f>
        <v>View</v>
      </c>
    </row>
    <row r="338" spans="1:21" ht="81.599999999999994">
      <c r="A338" s="6">
        <v>43424.996921296297</v>
      </c>
      <c r="B338" s="7" t="str">
        <f>HYPERLINK("https://twitter.com/Pedrobayonas1","@Pedrobayonas1")</f>
        <v>@Pedrobayonas1</v>
      </c>
      <c r="C338" s="8" t="s">
        <v>1302</v>
      </c>
      <c r="D338" s="9" t="s">
        <v>1303</v>
      </c>
      <c r="E338" s="10" t="str">
        <f>HYPERLINK("https://twitter.com/Pedrobayonas1/status/1065015826510696450","1065015826510696450")</f>
        <v>1065015826510696450</v>
      </c>
      <c r="F338" s="11" t="s">
        <v>1272</v>
      </c>
      <c r="G338" s="11" t="s">
        <v>1276</v>
      </c>
      <c r="H338" s="12"/>
      <c r="I338" s="13">
        <v>4</v>
      </c>
      <c r="J338" s="13">
        <v>5</v>
      </c>
      <c r="K338" s="14" t="str">
        <f>HYPERLINK("http://twitter.com/download/iphone","Twitter for iPhone")</f>
        <v>Twitter for iPhone</v>
      </c>
      <c r="L338" s="13">
        <v>239</v>
      </c>
      <c r="M338" s="13">
        <v>202</v>
      </c>
      <c r="N338" s="13">
        <v>2</v>
      </c>
      <c r="O338" s="15"/>
      <c r="P338" s="6">
        <v>43184.661851851852</v>
      </c>
      <c r="Q338" s="12"/>
      <c r="R338" s="17" t="s">
        <v>1304</v>
      </c>
      <c r="S338" s="12"/>
      <c r="T338" s="12"/>
      <c r="U338" s="10" t="str">
        <f>HYPERLINK("https://pbs.twimg.com/profile_images/1032571234800807939/Lj2sowPF.jpg","View")</f>
        <v>View</v>
      </c>
    </row>
    <row r="339" spans="1:21" ht="30.6">
      <c r="A339" s="6">
        <v>43424.993993055556</v>
      </c>
      <c r="B339" s="7" t="str">
        <f>HYPERLINK("https://twitter.com/VOX_Guadalajara","@VOX_Guadalajara")</f>
        <v>@VOX_Guadalajara</v>
      </c>
      <c r="C339" s="8" t="s">
        <v>1305</v>
      </c>
      <c r="D339" s="9" t="s">
        <v>1306</v>
      </c>
      <c r="E339" s="10" t="str">
        <f>HYPERLINK("https://twitter.com/VOX_Guadalajara/status/1065014764559048704","1065014764559048704")</f>
        <v>1065014764559048704</v>
      </c>
      <c r="F339" s="12"/>
      <c r="G339" s="11" t="s">
        <v>1307</v>
      </c>
      <c r="H339" s="12"/>
      <c r="I339" s="13">
        <v>9</v>
      </c>
      <c r="J339" s="13">
        <v>6</v>
      </c>
      <c r="K339" s="14" t="str">
        <f t="shared" ref="K339:K342" si="122">HYPERLINK("http://twitter.com/download/android","Twitter for Android")</f>
        <v>Twitter for Android</v>
      </c>
      <c r="L339" s="13">
        <v>2564</v>
      </c>
      <c r="M339" s="13">
        <v>2101</v>
      </c>
      <c r="N339" s="13">
        <v>42</v>
      </c>
      <c r="O339" s="15"/>
      <c r="P339" s="6">
        <v>41707.002291666664</v>
      </c>
      <c r="Q339" s="16" t="s">
        <v>1308</v>
      </c>
      <c r="R339" s="17" t="s">
        <v>1309</v>
      </c>
      <c r="S339" s="11" t="s">
        <v>1310</v>
      </c>
      <c r="T339" s="12"/>
      <c r="U339" s="10" t="str">
        <f>HYPERLINK("https://pbs.twimg.com/profile_images/592072772932730880/rNcgJTpv.jpg","View")</f>
        <v>View</v>
      </c>
    </row>
    <row r="340" spans="1:21" ht="40.799999999999997">
      <c r="A340" s="6">
        <v>43424.983449074076</v>
      </c>
      <c r="B340" s="7" t="str">
        <f>HYPERLINK("https://twitter.com/Quimix69","@Quimix69")</f>
        <v>@Quimix69</v>
      </c>
      <c r="C340" s="8" t="s">
        <v>1312</v>
      </c>
      <c r="D340" s="9" t="s">
        <v>1313</v>
      </c>
      <c r="E340" s="10" t="str">
        <f>HYPERLINK("https://twitter.com/Quimix69/status/1065010941866184704","1065010941866184704")</f>
        <v>1065010941866184704</v>
      </c>
      <c r="F340" s="12"/>
      <c r="G340" s="11" t="s">
        <v>1314</v>
      </c>
      <c r="H340" s="12"/>
      <c r="I340" s="13">
        <v>1</v>
      </c>
      <c r="J340" s="13">
        <v>7</v>
      </c>
      <c r="K340" s="14" t="str">
        <f t="shared" si="122"/>
        <v>Twitter for Android</v>
      </c>
      <c r="L340" s="13">
        <v>74</v>
      </c>
      <c r="M340" s="13">
        <v>117</v>
      </c>
      <c r="N340" s="13">
        <v>0</v>
      </c>
      <c r="O340" s="15"/>
      <c r="P340" s="6">
        <v>41928.913912037038</v>
      </c>
      <c r="Q340" s="16" t="s">
        <v>1319</v>
      </c>
      <c r="R340" s="17" t="s">
        <v>1320</v>
      </c>
      <c r="S340" s="12"/>
      <c r="T340" s="12"/>
      <c r="U340" s="10" t="str">
        <f>HYPERLINK("https://pbs.twimg.com/profile_images/852580807965384706/H9cJxZ2c.jpg","View")</f>
        <v>View</v>
      </c>
    </row>
    <row r="341" spans="1:21" ht="40.799999999999997">
      <c r="A341" s="6">
        <v>43424.978356481486</v>
      </c>
      <c r="B341" s="7" t="str">
        <f>HYPERLINK("https://twitter.com/lacarmen1111","@lacarmen1111")</f>
        <v>@lacarmen1111</v>
      </c>
      <c r="C341" s="8" t="s">
        <v>1322</v>
      </c>
      <c r="D341" s="9" t="s">
        <v>1323</v>
      </c>
      <c r="E341" s="10" t="str">
        <f>HYPERLINK("https://twitter.com/lacarmen1111/status/1065009099379802112","1065009099379802112")</f>
        <v>1065009099379802112</v>
      </c>
      <c r="F341" s="11" t="s">
        <v>1324</v>
      </c>
      <c r="G341" s="12"/>
      <c r="H341" s="12"/>
      <c r="I341" s="13">
        <v>1</v>
      </c>
      <c r="J341" s="13">
        <v>1</v>
      </c>
      <c r="K341" s="14" t="str">
        <f t="shared" si="122"/>
        <v>Twitter for Android</v>
      </c>
      <c r="L341" s="13">
        <v>212</v>
      </c>
      <c r="M341" s="13">
        <v>499</v>
      </c>
      <c r="N341" s="13">
        <v>1</v>
      </c>
      <c r="O341" s="15"/>
      <c r="P341" s="6">
        <v>40760.972546296296</v>
      </c>
      <c r="Q341" s="16" t="s">
        <v>1325</v>
      </c>
      <c r="R341" s="17" t="s">
        <v>1326</v>
      </c>
      <c r="S341" s="12"/>
      <c r="T341" s="12"/>
      <c r="U341" s="10" t="str">
        <f>HYPERLINK("https://pbs.twimg.com/profile_images/977338123515506688/Y38wKQ0Y.jpg","View")</f>
        <v>View</v>
      </c>
    </row>
    <row r="342" spans="1:21" ht="51">
      <c r="A342" s="6">
        <v>43424.967615740738</v>
      </c>
      <c r="B342" s="7" t="str">
        <f>HYPERLINK("https://twitter.com/Alfonbay","@Alfonbay")</f>
        <v>@Alfonbay</v>
      </c>
      <c r="C342" s="8" t="s">
        <v>1327</v>
      </c>
      <c r="D342" s="9" t="s">
        <v>1328</v>
      </c>
      <c r="E342" s="10" t="str">
        <f>HYPERLINK("https://twitter.com/Alfonbay/status/1065005207564808193","1065005207564808193")</f>
        <v>1065005207564808193</v>
      </c>
      <c r="F342" s="12"/>
      <c r="G342" s="11" t="s">
        <v>999</v>
      </c>
      <c r="H342" s="12"/>
      <c r="I342" s="13">
        <v>341</v>
      </c>
      <c r="J342" s="13">
        <v>465</v>
      </c>
      <c r="K342" s="14" t="str">
        <f t="shared" si="122"/>
        <v>Twitter for Android</v>
      </c>
      <c r="L342" s="13">
        <v>2581</v>
      </c>
      <c r="M342" s="13">
        <v>1117</v>
      </c>
      <c r="N342" s="13">
        <v>110</v>
      </c>
      <c r="O342" s="15"/>
      <c r="P342" s="6">
        <v>40806.794976851852</v>
      </c>
      <c r="Q342" s="16" t="s">
        <v>1329</v>
      </c>
      <c r="R342" s="17" t="s">
        <v>1331</v>
      </c>
      <c r="S342" s="12"/>
      <c r="T342" s="12"/>
      <c r="U342" s="10" t="str">
        <f>HYPERLINK("https://pbs.twimg.com/profile_images/635849463798566912/wI8pz-KE.jpg","View")</f>
        <v>View</v>
      </c>
    </row>
    <row r="343" spans="1:21" ht="51">
      <c r="A343" s="6">
        <v>43424.965312500004</v>
      </c>
      <c r="B343" s="7" t="str">
        <f>HYPERLINK("https://twitter.com/gvz1967","@gvz1967")</f>
        <v>@gvz1967</v>
      </c>
      <c r="C343" s="8" t="s">
        <v>1579</v>
      </c>
      <c r="D343" s="9" t="s">
        <v>1580</v>
      </c>
      <c r="E343" s="10" t="str">
        <f>HYPERLINK("https://twitter.com/gvz1967/status/1065004372164259846","1065004372164259846")</f>
        <v>1065004372164259846</v>
      </c>
      <c r="F343" s="11" t="s">
        <v>1281</v>
      </c>
      <c r="G343" s="11" t="s">
        <v>1282</v>
      </c>
      <c r="H343" s="12"/>
      <c r="I343" s="13">
        <v>0</v>
      </c>
      <c r="J343" s="13">
        <v>1</v>
      </c>
      <c r="K343" s="14" t="str">
        <f>HYPERLINK("http://twitter.com/download/iphone","Twitter for iPhone")</f>
        <v>Twitter for iPhone</v>
      </c>
      <c r="L343" s="13">
        <v>967</v>
      </c>
      <c r="M343" s="13">
        <v>1208</v>
      </c>
      <c r="N343" s="13">
        <v>29</v>
      </c>
      <c r="O343" s="15"/>
      <c r="P343" s="6">
        <v>40288.905497685184</v>
      </c>
      <c r="Q343" s="16" t="s">
        <v>104</v>
      </c>
      <c r="R343" s="17" t="s">
        <v>1582</v>
      </c>
      <c r="S343" s="11" t="s">
        <v>1583</v>
      </c>
      <c r="T343" s="12"/>
      <c r="U343" s="10" t="str">
        <f>HYPERLINK("https://pbs.twimg.com/profile_images/2315791781/image.jpg","View")</f>
        <v>View</v>
      </c>
    </row>
    <row r="344" spans="1:21" ht="40.799999999999997">
      <c r="A344" s="6">
        <v>43424.960289351853</v>
      </c>
      <c r="B344" s="7" t="str">
        <f>HYPERLINK("https://twitter.com/aaaetj","@aaaetj")</f>
        <v>@aaaetj</v>
      </c>
      <c r="C344" s="8" t="s">
        <v>1332</v>
      </c>
      <c r="D344" s="9" t="s">
        <v>1333</v>
      </c>
      <c r="E344" s="10" t="str">
        <f>HYPERLINK("https://twitter.com/aaaetj/status/1065002549089062912","1065002549089062912")</f>
        <v>1065002549089062912</v>
      </c>
      <c r="F344" s="12"/>
      <c r="G344" s="11" t="s">
        <v>1334</v>
      </c>
      <c r="H344" s="12"/>
      <c r="I344" s="13">
        <v>5</v>
      </c>
      <c r="J344" s="13">
        <v>14</v>
      </c>
      <c r="K344" s="14" t="str">
        <f>HYPERLINK("http://twitter.com/download/android","Twitter for Android")</f>
        <v>Twitter for Android</v>
      </c>
      <c r="L344" s="13">
        <v>310</v>
      </c>
      <c r="M344" s="13">
        <v>1053</v>
      </c>
      <c r="N344" s="13">
        <v>3</v>
      </c>
      <c r="O344" s="15"/>
      <c r="P344" s="6">
        <v>42836.607893518521</v>
      </c>
      <c r="Q344" s="12"/>
      <c r="R344" s="21"/>
      <c r="S344" s="12"/>
      <c r="T344" s="12"/>
      <c r="U344" s="10" t="str">
        <f>HYPERLINK("https://pbs.twimg.com/profile_images/858638780600913920/8uyY5Uh5.jpg","View")</f>
        <v>View</v>
      </c>
    </row>
    <row r="345" spans="1:21" ht="20.399999999999999">
      <c r="A345" s="6">
        <v>43424.959872685184</v>
      </c>
      <c r="B345" s="7" t="str">
        <f>HYPERLINK("https://twitter.com/DavidGosu","@DavidGosu")</f>
        <v>@DavidGosu</v>
      </c>
      <c r="C345" s="8" t="s">
        <v>1587</v>
      </c>
      <c r="D345" s="9" t="s">
        <v>1588</v>
      </c>
      <c r="E345" s="10" t="str">
        <f>HYPERLINK("https://twitter.com/DavidGosu/status/1065002401617362946","1065002401617362946")</f>
        <v>1065002401617362946</v>
      </c>
      <c r="F345" s="11" t="s">
        <v>550</v>
      </c>
      <c r="G345" s="11" t="s">
        <v>542</v>
      </c>
      <c r="H345" s="12"/>
      <c r="I345" s="13">
        <v>53</v>
      </c>
      <c r="J345" s="13">
        <v>152</v>
      </c>
      <c r="K345" s="14" t="str">
        <f>HYPERLINK("http://twitter.com/download/iphone","Twitter for iPhone")</f>
        <v>Twitter for iPhone</v>
      </c>
      <c r="L345" s="13">
        <v>890</v>
      </c>
      <c r="M345" s="13">
        <v>197</v>
      </c>
      <c r="N345" s="13">
        <v>13</v>
      </c>
      <c r="O345" s="15"/>
      <c r="P345" s="6">
        <v>40524.756342592591</v>
      </c>
      <c r="Q345" s="16" t="s">
        <v>104</v>
      </c>
      <c r="R345" s="17" t="s">
        <v>1591</v>
      </c>
      <c r="S345" s="11" t="s">
        <v>1592</v>
      </c>
      <c r="T345" s="12"/>
      <c r="U345" s="10" t="str">
        <f>HYPERLINK("https://pbs.twimg.com/profile_images/1047870636943712256/YmgsxyBC.jpg","View")</f>
        <v>View</v>
      </c>
    </row>
    <row r="346" spans="1:21" ht="40.799999999999997">
      <c r="A346" s="6">
        <v>43424.959421296298</v>
      </c>
      <c r="B346" s="7" t="str">
        <f>HYPERLINK("https://twitter.com/GHrelina","@GHrelina")</f>
        <v>@GHrelina</v>
      </c>
      <c r="C346" s="8" t="s">
        <v>1335</v>
      </c>
      <c r="D346" s="9" t="s">
        <v>1336</v>
      </c>
      <c r="E346" s="10" t="str">
        <f>HYPERLINK("https://twitter.com/GHrelina/status/1065002235501953024","1065002235501953024")</f>
        <v>1065002235501953024</v>
      </c>
      <c r="F346" s="12"/>
      <c r="G346" s="12"/>
      <c r="H346" s="12"/>
      <c r="I346" s="13">
        <v>0</v>
      </c>
      <c r="J346" s="13">
        <v>1</v>
      </c>
      <c r="K346" s="14" t="str">
        <f>HYPERLINK("https://tapbots.com/software/tweetbot/mac","Tweetbot for Mac")</f>
        <v>Tweetbot for Mac</v>
      </c>
      <c r="L346" s="13">
        <v>50</v>
      </c>
      <c r="M346" s="13">
        <v>291</v>
      </c>
      <c r="N346" s="13">
        <v>0</v>
      </c>
      <c r="O346" s="15"/>
      <c r="P346" s="6">
        <v>40578.012430555558</v>
      </c>
      <c r="Q346" s="16" t="s">
        <v>1337</v>
      </c>
      <c r="R346" s="17" t="s">
        <v>1338</v>
      </c>
      <c r="S346" s="12"/>
      <c r="T346" s="12"/>
      <c r="U346" s="10" t="str">
        <f>HYPERLINK("https://pbs.twimg.com/profile_images/984565392252293123/PweIBEEI.jpg","View")</f>
        <v>View</v>
      </c>
    </row>
    <row r="347" spans="1:21" ht="51">
      <c r="A347" s="6">
        <v>43424.959027777775</v>
      </c>
      <c r="B347" s="7" t="str">
        <f>HYPERLINK("https://twitter.com/bitMomentum","@bitMomentum")</f>
        <v>@bitMomentum</v>
      </c>
      <c r="C347" s="8" t="s">
        <v>368</v>
      </c>
      <c r="D347" s="9" t="s">
        <v>1341</v>
      </c>
      <c r="E347" s="10" t="str">
        <f>HYPERLINK("https://twitter.com/bitMomentum/status/1065002091750572032","1065002091750572032")</f>
        <v>1065002091750572032</v>
      </c>
      <c r="F347" s="12"/>
      <c r="G347" s="12"/>
      <c r="H347" s="12"/>
      <c r="I347" s="13">
        <v>0</v>
      </c>
      <c r="J347" s="13">
        <v>0</v>
      </c>
      <c r="K347" s="14" t="str">
        <f>HYPERLINK("http://www.bitmomentum.com","bitMomentum Bot")</f>
        <v>bitMomentum Bot</v>
      </c>
      <c r="L347" s="13">
        <v>10132</v>
      </c>
      <c r="M347" s="13">
        <v>1060</v>
      </c>
      <c r="N347" s="13">
        <v>267</v>
      </c>
      <c r="O347" s="15"/>
      <c r="P347" s="6">
        <v>41608.667511574073</v>
      </c>
      <c r="Q347" s="12"/>
      <c r="R347" s="17" t="s">
        <v>371</v>
      </c>
      <c r="S347" s="11" t="s">
        <v>372</v>
      </c>
      <c r="T347" s="12"/>
      <c r="U347" s="10" t="str">
        <f>HYPERLINK("https://pbs.twimg.com/profile_images/378800000862185241/20ij2H3u.png","View")</f>
        <v>View</v>
      </c>
    </row>
    <row r="348" spans="1:21" ht="102">
      <c r="A348" s="6">
        <v>43424.953935185185</v>
      </c>
      <c r="B348" s="7" t="str">
        <f>HYPERLINK("https://twitter.com/RGarcia1989","@RGarcia1989")</f>
        <v>@RGarcia1989</v>
      </c>
      <c r="C348" s="8" t="s">
        <v>1095</v>
      </c>
      <c r="D348" s="9" t="s">
        <v>1344</v>
      </c>
      <c r="E348" s="10" t="str">
        <f>HYPERLINK("https://twitter.com/RGarcia1989/status/1065000247619985409","1065000247619985409")</f>
        <v>1065000247619985409</v>
      </c>
      <c r="F348" s="11" t="s">
        <v>1272</v>
      </c>
      <c r="G348" s="11" t="s">
        <v>1276</v>
      </c>
      <c r="H348" s="12"/>
      <c r="I348" s="13">
        <v>0</v>
      </c>
      <c r="J348" s="13">
        <v>0</v>
      </c>
      <c r="K348" s="14" t="str">
        <f>HYPERLINK("http://twitter.com","Twitter Web Client")</f>
        <v>Twitter Web Client</v>
      </c>
      <c r="L348" s="13">
        <v>8</v>
      </c>
      <c r="M348" s="13">
        <v>70</v>
      </c>
      <c r="N348" s="13">
        <v>0</v>
      </c>
      <c r="O348" s="15"/>
      <c r="P348" s="6">
        <v>43424.850729166668</v>
      </c>
      <c r="Q348" s="16" t="s">
        <v>1099</v>
      </c>
      <c r="R348" s="17" t="s">
        <v>1100</v>
      </c>
      <c r="S348" s="12"/>
      <c r="T348" s="12"/>
      <c r="U348" s="10" t="str">
        <f>HYPERLINK("https://pbs.twimg.com/profile_images/1064966721591799808/L1WK0UAA.jpg","View")</f>
        <v>View</v>
      </c>
    </row>
    <row r="349" spans="1:21" ht="40.799999999999997">
      <c r="A349" s="6">
        <v>43424.952673611115</v>
      </c>
      <c r="B349" s="7" t="str">
        <f>HYPERLINK("https://twitter.com/TopInfluencer_","@TopInfluencer_")</f>
        <v>@TopInfluencer_</v>
      </c>
      <c r="C349" s="8" t="s">
        <v>1345</v>
      </c>
      <c r="D349" s="9" t="s">
        <v>1346</v>
      </c>
      <c r="E349" s="10" t="str">
        <f>HYPERLINK("https://twitter.com/TopInfluencer_/status/1064999790499512320","1064999790499512320")</f>
        <v>1064999790499512320</v>
      </c>
      <c r="F349" s="11" t="s">
        <v>1347</v>
      </c>
      <c r="G349" s="12"/>
      <c r="H349" s="12"/>
      <c r="I349" s="13">
        <v>0</v>
      </c>
      <c r="J349" s="13">
        <v>0</v>
      </c>
      <c r="K349" s="14" t="str">
        <f>HYPERLINK("http://topinfluencers.es/","Kteam Writer")</f>
        <v>Kteam Writer</v>
      </c>
      <c r="L349" s="13">
        <v>11902</v>
      </c>
      <c r="M349" s="13">
        <v>6180</v>
      </c>
      <c r="N349" s="13">
        <v>639</v>
      </c>
      <c r="O349" s="15"/>
      <c r="P349" s="6">
        <v>41708.066643518519</v>
      </c>
      <c r="Q349" s="16" t="s">
        <v>66</v>
      </c>
      <c r="R349" s="17" t="s">
        <v>1348</v>
      </c>
      <c r="S349" s="11" t="s">
        <v>1349</v>
      </c>
      <c r="T349" s="12"/>
      <c r="U349" s="10" t="str">
        <f>HYPERLINK("https://pbs.twimg.com/profile_images/442824528939347968/7ZyrXyCa.png","View")</f>
        <v>View</v>
      </c>
    </row>
    <row r="350" spans="1:21" ht="30.6">
      <c r="A350" s="6">
        <v>43424.951342592598</v>
      </c>
      <c r="B350" s="7" t="str">
        <f>HYPERLINK("https://twitter.com/wiguemigue","@wiguemigue")</f>
        <v>@wiguemigue</v>
      </c>
      <c r="C350" s="8" t="s">
        <v>1350</v>
      </c>
      <c r="D350" s="9" t="s">
        <v>1351</v>
      </c>
      <c r="E350" s="10" t="str">
        <f>HYPERLINK("https://twitter.com/wiguemigue/status/1064999309459038213","1064999309459038213")</f>
        <v>1064999309459038213</v>
      </c>
      <c r="F350" s="12"/>
      <c r="G350" s="11" t="s">
        <v>1352</v>
      </c>
      <c r="H350" s="12"/>
      <c r="I350" s="13">
        <v>1</v>
      </c>
      <c r="J350" s="13">
        <v>1</v>
      </c>
      <c r="K350" s="14" t="str">
        <f t="shared" ref="K350:K351" si="123">HYPERLINK("http://twitter.com/download/android","Twitter for Android")</f>
        <v>Twitter for Android</v>
      </c>
      <c r="L350" s="13">
        <v>26</v>
      </c>
      <c r="M350" s="13">
        <v>507</v>
      </c>
      <c r="N350" s="13">
        <v>1</v>
      </c>
      <c r="O350" s="15"/>
      <c r="P350" s="6">
        <v>43181.886574074073</v>
      </c>
      <c r="Q350" s="12"/>
      <c r="R350" s="21"/>
      <c r="S350" s="12"/>
      <c r="T350" s="12"/>
      <c r="U350" s="10" t="str">
        <f>HYPERLINK("https://pbs.twimg.com/profile_images/979084258374451200/_GUDVh5E.jpg","View")</f>
        <v>View</v>
      </c>
    </row>
    <row r="351" spans="1:21" ht="30.6">
      <c r="A351" s="6">
        <v>43424.942511574074</v>
      </c>
      <c r="B351" s="7" t="str">
        <f>HYPERLINK("https://twitter.com/Juanerpf","@Juanerpf")</f>
        <v>@Juanerpf</v>
      </c>
      <c r="C351" s="8" t="s">
        <v>544</v>
      </c>
      <c r="D351" s="9" t="s">
        <v>1355</v>
      </c>
      <c r="E351" s="10" t="str">
        <f>HYPERLINK("https://twitter.com/Juanerpf/status/1064996108345077760","1064996108345077760")</f>
        <v>1064996108345077760</v>
      </c>
      <c r="F351" s="12"/>
      <c r="G351" s="11" t="s">
        <v>1356</v>
      </c>
      <c r="H351" s="12"/>
      <c r="I351" s="13">
        <v>17</v>
      </c>
      <c r="J351" s="13">
        <v>19</v>
      </c>
      <c r="K351" s="14" t="str">
        <f t="shared" si="123"/>
        <v>Twitter for Android</v>
      </c>
      <c r="L351" s="13">
        <v>6690</v>
      </c>
      <c r="M351" s="13">
        <v>873</v>
      </c>
      <c r="N351" s="13">
        <v>308</v>
      </c>
      <c r="O351" s="15"/>
      <c r="P351" s="6">
        <v>40980.873715277776</v>
      </c>
      <c r="Q351" s="16" t="s">
        <v>547</v>
      </c>
      <c r="R351" s="17" t="s">
        <v>548</v>
      </c>
      <c r="S351" s="11" t="s">
        <v>549</v>
      </c>
      <c r="T351" s="12"/>
      <c r="U351" s="10" t="str">
        <f>HYPERLINK("https://pbs.twimg.com/profile_images/537274998272954368/lLSuaKwi.jpeg","View")</f>
        <v>View</v>
      </c>
    </row>
    <row r="352" spans="1:21" ht="91.8">
      <c r="A352" s="6">
        <v>43424.938622685186</v>
      </c>
      <c r="B352" s="7" t="str">
        <f>HYPERLINK("https://twitter.com/MuyLiberal","@MuyLiberal")</f>
        <v>@MuyLiberal</v>
      </c>
      <c r="C352" s="8" t="s">
        <v>1359</v>
      </c>
      <c r="D352" s="9" t="s">
        <v>1360</v>
      </c>
      <c r="E352" s="10" t="str">
        <f>HYPERLINK("https://twitter.com/MuyLiberal/status/1064994699059109889","1064994699059109889")</f>
        <v>1064994699059109889</v>
      </c>
      <c r="F352" s="11" t="s">
        <v>1272</v>
      </c>
      <c r="G352" s="11" t="s">
        <v>1276</v>
      </c>
      <c r="H352" s="12"/>
      <c r="I352" s="13">
        <v>488</v>
      </c>
      <c r="J352" s="13">
        <v>1030</v>
      </c>
      <c r="K352" s="14" t="str">
        <f>HYPERLINK("http://twitter.com/download/iphone","Twitter for iPhone")</f>
        <v>Twitter for iPhone</v>
      </c>
      <c r="L352" s="13">
        <v>29339</v>
      </c>
      <c r="M352" s="13">
        <v>1972</v>
      </c>
      <c r="N352" s="13">
        <v>238</v>
      </c>
      <c r="O352" s="23" t="s">
        <v>186</v>
      </c>
      <c r="P352" s="6">
        <v>41184.784629629634</v>
      </c>
      <c r="Q352" s="12"/>
      <c r="R352" s="17" t="s">
        <v>1361</v>
      </c>
      <c r="S352" s="11" t="s">
        <v>1362</v>
      </c>
      <c r="T352" s="12"/>
      <c r="U352" s="10" t="str">
        <f>HYPERLINK("https://pbs.twimg.com/profile_images/1065892129539530753/g638P6sH.jpg","View")</f>
        <v>View</v>
      </c>
    </row>
    <row r="353" spans="1:21" ht="61.2">
      <c r="A353" s="6">
        <v>43424.931874999995</v>
      </c>
      <c r="B353" s="7" t="str">
        <f>HYPERLINK("https://twitter.com/Paelarrastre","@Paelarrastre")</f>
        <v>@Paelarrastre</v>
      </c>
      <c r="C353" s="8" t="s">
        <v>1363</v>
      </c>
      <c r="D353" s="9" t="s">
        <v>1364</v>
      </c>
      <c r="E353" s="10" t="str">
        <f>HYPERLINK("https://twitter.com/Paelarrastre/status/1064992253628817415","1064992253628817415")</f>
        <v>1064992253628817415</v>
      </c>
      <c r="F353" s="11" t="s">
        <v>1365</v>
      </c>
      <c r="G353" s="11" t="s">
        <v>1366</v>
      </c>
      <c r="H353" s="12"/>
      <c r="I353" s="13">
        <v>0</v>
      </c>
      <c r="J353" s="13">
        <v>1</v>
      </c>
      <c r="K353" s="14" t="str">
        <f t="shared" ref="K353:K355" si="124">HYPERLINK("http://twitter.com/download/android","Twitter for Android")</f>
        <v>Twitter for Android</v>
      </c>
      <c r="L353" s="13">
        <v>1037</v>
      </c>
      <c r="M353" s="13">
        <v>4218</v>
      </c>
      <c r="N353" s="13">
        <v>147</v>
      </c>
      <c r="O353" s="15"/>
      <c r="P353" s="6">
        <v>40796.780393518522</v>
      </c>
      <c r="Q353" s="16" t="s">
        <v>1367</v>
      </c>
      <c r="R353" s="17" t="s">
        <v>1368</v>
      </c>
      <c r="S353" s="12"/>
      <c r="T353" s="12"/>
      <c r="U353" s="10" t="str">
        <f>HYPERLINK("https://pbs.twimg.com/profile_images/1045191335244910592/V4DhrKkR.jpg","View")</f>
        <v>View</v>
      </c>
    </row>
    <row r="354" spans="1:21" ht="51">
      <c r="A354" s="6">
        <v>43424.922013888892</v>
      </c>
      <c r="B354" s="7" t="str">
        <f>HYPERLINK("https://twitter.com/voxnoticias_es","@voxnoticias_es")</f>
        <v>@voxnoticias_es</v>
      </c>
      <c r="C354" s="8" t="s">
        <v>234</v>
      </c>
      <c r="D354" s="9" t="s">
        <v>1369</v>
      </c>
      <c r="E354" s="10" t="str">
        <f>HYPERLINK("https://twitter.com/voxnoticias_es/status/1064988679951867905","1064988679951867905")</f>
        <v>1064988679951867905</v>
      </c>
      <c r="F354" s="12"/>
      <c r="G354" s="11" t="s">
        <v>1370</v>
      </c>
      <c r="H354" s="12"/>
      <c r="I354" s="13">
        <v>276</v>
      </c>
      <c r="J354" s="13">
        <v>537</v>
      </c>
      <c r="K354" s="14" t="str">
        <f t="shared" si="124"/>
        <v>Twitter for Android</v>
      </c>
      <c r="L354" s="13">
        <v>19279</v>
      </c>
      <c r="M354" s="13">
        <v>2124</v>
      </c>
      <c r="N354" s="13">
        <v>136</v>
      </c>
      <c r="O354" s="15"/>
      <c r="P354" s="6">
        <v>41687.875428240739</v>
      </c>
      <c r="Q354" s="16" t="s">
        <v>238</v>
      </c>
      <c r="R354" s="17" t="s">
        <v>239</v>
      </c>
      <c r="S354" s="11" t="s">
        <v>240</v>
      </c>
      <c r="T354" s="12"/>
      <c r="U354" s="10" t="str">
        <f>HYPERLINK("https://pbs.twimg.com/profile_images/900432165195980801/-2-6PzuU.jpg","View")</f>
        <v>View</v>
      </c>
    </row>
    <row r="355" spans="1:21" ht="51">
      <c r="A355" s="6">
        <v>43424.921932870369</v>
      </c>
      <c r="B355" s="7" t="str">
        <f>HYPERLINK("https://twitter.com/7_ZeRoIo","@7_ZeRoIo")</f>
        <v>@7_ZeRoIo</v>
      </c>
      <c r="C355" s="8" t="s">
        <v>1630</v>
      </c>
      <c r="D355" s="9" t="s">
        <v>1632</v>
      </c>
      <c r="E355" s="10" t="str">
        <f>HYPERLINK("https://twitter.com/7_ZeRoIo/status/1064988651103358976","1064988651103358976")</f>
        <v>1064988651103358976</v>
      </c>
      <c r="F355" s="12"/>
      <c r="G355" s="12"/>
      <c r="H355" s="12"/>
      <c r="I355" s="13">
        <v>2</v>
      </c>
      <c r="J355" s="13">
        <v>4</v>
      </c>
      <c r="K355" s="14" t="str">
        <f t="shared" si="124"/>
        <v>Twitter for Android</v>
      </c>
      <c r="L355" s="13">
        <v>2965</v>
      </c>
      <c r="M355" s="13">
        <v>3738</v>
      </c>
      <c r="N355" s="13">
        <v>2</v>
      </c>
      <c r="O355" s="15"/>
      <c r="P355" s="6">
        <v>42329.796481481477</v>
      </c>
      <c r="Q355" s="16" t="s">
        <v>1174</v>
      </c>
      <c r="R355" s="17" t="s">
        <v>1633</v>
      </c>
      <c r="S355" s="12"/>
      <c r="T355" s="12"/>
      <c r="U355" s="10" t="str">
        <f>HYPERLINK("https://pbs.twimg.com/profile_images/1057754774085476352/Zcy5ihHq.jpg","View")</f>
        <v>View</v>
      </c>
    </row>
    <row r="356" spans="1:21" ht="51">
      <c r="A356" s="6">
        <v>43424.91805555555</v>
      </c>
      <c r="B356" s="7" t="str">
        <f t="shared" ref="B356:B357" si="125">HYPERLINK("https://twitter.com/bitMomentum","@bitMomentum")</f>
        <v>@bitMomentum</v>
      </c>
      <c r="C356" s="8" t="s">
        <v>368</v>
      </c>
      <c r="D356" s="9" t="s">
        <v>1373</v>
      </c>
      <c r="E356" s="10" t="str">
        <f>HYPERLINK("https://twitter.com/bitMomentum/status/1064987244061175812","1064987244061175812")</f>
        <v>1064987244061175812</v>
      </c>
      <c r="F356" s="12"/>
      <c r="G356" s="12"/>
      <c r="H356" s="12"/>
      <c r="I356" s="13">
        <v>0</v>
      </c>
      <c r="J356" s="13">
        <v>0</v>
      </c>
      <c r="K356" s="14" t="str">
        <f t="shared" ref="K356:K357" si="126">HYPERLINK("http://www.bitmomentum.com","bitMomentum Bot")</f>
        <v>bitMomentum Bot</v>
      </c>
      <c r="L356" s="13">
        <v>10132</v>
      </c>
      <c r="M356" s="13">
        <v>1060</v>
      </c>
      <c r="N356" s="13">
        <v>267</v>
      </c>
      <c r="O356" s="15"/>
      <c r="P356" s="6">
        <v>41608.667511574073</v>
      </c>
      <c r="Q356" s="12"/>
      <c r="R356" s="17" t="s">
        <v>371</v>
      </c>
      <c r="S356" s="11" t="s">
        <v>372</v>
      </c>
      <c r="T356" s="12"/>
      <c r="U356" s="10" t="str">
        <f t="shared" ref="U356:U357" si="127">HYPERLINK("https://pbs.twimg.com/profile_images/378800000862185241/20ij2H3u.png","View")</f>
        <v>View</v>
      </c>
    </row>
    <row r="357" spans="1:21" ht="51">
      <c r="A357" s="6">
        <v>43424.917361111111</v>
      </c>
      <c r="B357" s="7" t="str">
        <f t="shared" si="125"/>
        <v>@bitMomentum</v>
      </c>
      <c r="C357" s="8" t="s">
        <v>368</v>
      </c>
      <c r="D357" s="9" t="s">
        <v>1378</v>
      </c>
      <c r="E357" s="10" t="str">
        <f>HYPERLINK("https://twitter.com/bitMomentum/status/1064986992298156032","1064986992298156032")</f>
        <v>1064986992298156032</v>
      </c>
      <c r="F357" s="12"/>
      <c r="G357" s="12"/>
      <c r="H357" s="12"/>
      <c r="I357" s="13">
        <v>0</v>
      </c>
      <c r="J357" s="13">
        <v>0</v>
      </c>
      <c r="K357" s="14" t="str">
        <f t="shared" si="126"/>
        <v>bitMomentum Bot</v>
      </c>
      <c r="L357" s="13">
        <v>10132</v>
      </c>
      <c r="M357" s="13">
        <v>1060</v>
      </c>
      <c r="N357" s="13">
        <v>267</v>
      </c>
      <c r="O357" s="15"/>
      <c r="P357" s="6">
        <v>41608.667511574073</v>
      </c>
      <c r="Q357" s="12"/>
      <c r="R357" s="17" t="s">
        <v>371</v>
      </c>
      <c r="S357" s="11" t="s">
        <v>372</v>
      </c>
      <c r="T357" s="12"/>
      <c r="U357" s="10" t="str">
        <f t="shared" si="127"/>
        <v>View</v>
      </c>
    </row>
    <row r="358" spans="1:21" ht="40.799999999999997">
      <c r="A358" s="6">
        <v>43424.916759259257</v>
      </c>
      <c r="B358" s="7" t="str">
        <f>HYPERLINK("https://twitter.com/oscarsotoc","@oscarsotoc")</f>
        <v>@oscarsotoc</v>
      </c>
      <c r="C358" s="8" t="s">
        <v>1379</v>
      </c>
      <c r="D358" s="9" t="s">
        <v>1380</v>
      </c>
      <c r="E358" s="10" t="str">
        <f>HYPERLINK("https://twitter.com/oscarsotoc/status/1064986774563446784","1064986774563446784")</f>
        <v>1064986774563446784</v>
      </c>
      <c r="F358" s="12"/>
      <c r="G358" s="12"/>
      <c r="H358" s="12"/>
      <c r="I358" s="13">
        <v>0</v>
      </c>
      <c r="J358" s="13">
        <v>0</v>
      </c>
      <c r="K358" s="14" t="str">
        <f>HYPERLINK("http://twitter.com/download/android","Twitter for Android")</f>
        <v>Twitter for Android</v>
      </c>
      <c r="L358" s="13">
        <v>2155</v>
      </c>
      <c r="M358" s="13">
        <v>4253</v>
      </c>
      <c r="N358" s="13">
        <v>7</v>
      </c>
      <c r="O358" s="15"/>
      <c r="P358" s="6">
        <v>40084.086238425924</v>
      </c>
      <c r="Q358" s="16" t="s">
        <v>1381</v>
      </c>
      <c r="R358" s="21"/>
      <c r="S358" s="12"/>
      <c r="T358" s="12"/>
      <c r="U358" s="10" t="str">
        <f>HYPERLINK("https://pbs.twimg.com/profile_images/594169575475978241/S3pbN014.jpg","View")</f>
        <v>View</v>
      </c>
    </row>
    <row r="359" spans="1:21" ht="30.6">
      <c r="A359" s="6">
        <v>43424.91342592593</v>
      </c>
      <c r="B359" s="7" t="str">
        <f>HYPERLINK("https://twitter.com/voxmemes","@voxmemes")</f>
        <v>@voxmemes</v>
      </c>
      <c r="C359" s="8" t="s">
        <v>1382</v>
      </c>
      <c r="D359" s="9" t="s">
        <v>1383</v>
      </c>
      <c r="E359" s="10" t="str">
        <f>HYPERLINK("https://twitter.com/voxmemes/status/1064985568046661632","1064985568046661632")</f>
        <v>1064985568046661632</v>
      </c>
      <c r="F359" s="12"/>
      <c r="G359" s="11" t="s">
        <v>1384</v>
      </c>
      <c r="H359" s="12"/>
      <c r="I359" s="13">
        <v>7</v>
      </c>
      <c r="J359" s="13">
        <v>22</v>
      </c>
      <c r="K359" s="14" t="str">
        <f>HYPERLINK("http://twitter.com","Twitter Web Client")</f>
        <v>Twitter Web Client</v>
      </c>
      <c r="L359" s="13">
        <v>237</v>
      </c>
      <c r="M359" s="13">
        <v>13</v>
      </c>
      <c r="N359" s="13">
        <v>1</v>
      </c>
      <c r="O359" s="15"/>
      <c r="P359" s="6">
        <v>43408.780289351853</v>
      </c>
      <c r="Q359" s="16" t="s">
        <v>698</v>
      </c>
      <c r="R359" s="17" t="s">
        <v>1385</v>
      </c>
      <c r="S359" s="12"/>
      <c r="T359" s="12"/>
      <c r="U359" s="10" t="str">
        <f>HYPERLINK("https://pbs.twimg.com/profile_images/1059165177357238272/GxeK50yH.jpg","View")</f>
        <v>View</v>
      </c>
    </row>
    <row r="360" spans="1:21" ht="40.799999999999997">
      <c r="A360" s="6">
        <v>43424.91233796296</v>
      </c>
      <c r="B360" s="7" t="str">
        <f>HYPERLINK("https://twitter.com/VCartama","@VCartama")</f>
        <v>@VCartama</v>
      </c>
      <c r="C360" s="8" t="s">
        <v>1386</v>
      </c>
      <c r="D360" s="9" t="s">
        <v>519</v>
      </c>
      <c r="E360" s="10" t="str">
        <f>HYPERLINK("https://twitter.com/VCartama/status/1064985171466825728","1064985171466825728")</f>
        <v>1064985171466825728</v>
      </c>
      <c r="F360" s="12"/>
      <c r="G360" s="11" t="s">
        <v>51</v>
      </c>
      <c r="H360" s="12"/>
      <c r="I360" s="13">
        <v>356</v>
      </c>
      <c r="J360" s="13">
        <v>793</v>
      </c>
      <c r="K360" s="14" t="str">
        <f t="shared" ref="K360:K365" si="128">HYPERLINK("http://twitter.com/download/android","Twitter for Android")</f>
        <v>Twitter for Android</v>
      </c>
      <c r="L360" s="13">
        <v>570</v>
      </c>
      <c r="M360" s="13">
        <v>550</v>
      </c>
      <c r="N360" s="13">
        <v>0</v>
      </c>
      <c r="O360" s="15"/>
      <c r="P360" s="6">
        <v>43298.439421296294</v>
      </c>
      <c r="Q360" s="16" t="s">
        <v>1387</v>
      </c>
      <c r="R360" s="17" t="s">
        <v>1388</v>
      </c>
      <c r="S360" s="11" t="s">
        <v>187</v>
      </c>
      <c r="T360" s="12"/>
      <c r="U360" s="10" t="str">
        <f>HYPERLINK("https://pbs.twimg.com/profile_images/1019190095059046400/fEI3mDvW.jpg","View")</f>
        <v>View</v>
      </c>
    </row>
    <row r="361" spans="1:21" ht="51">
      <c r="A361" s="6">
        <v>43424.911365740743</v>
      </c>
      <c r="B361" s="7" t="str">
        <f>HYPERLINK("https://twitter.com/silvia0907","@silvia0907")</f>
        <v>@silvia0907</v>
      </c>
      <c r="C361" s="8" t="s">
        <v>1389</v>
      </c>
      <c r="D361" s="9" t="s">
        <v>1390</v>
      </c>
      <c r="E361" s="10" t="str">
        <f>HYPERLINK("https://twitter.com/silvia0907/status/1064984821246644224","1064984821246644224")</f>
        <v>1064984821246644224</v>
      </c>
      <c r="F361" s="12"/>
      <c r="G361" s="11" t="s">
        <v>1391</v>
      </c>
      <c r="H361" s="12"/>
      <c r="I361" s="13">
        <v>9</v>
      </c>
      <c r="J361" s="13">
        <v>9</v>
      </c>
      <c r="K361" s="14" t="str">
        <f t="shared" si="128"/>
        <v>Twitter for Android</v>
      </c>
      <c r="L361" s="13">
        <v>3588</v>
      </c>
      <c r="M361" s="13">
        <v>63</v>
      </c>
      <c r="N361" s="13">
        <v>53</v>
      </c>
      <c r="O361" s="15"/>
      <c r="P361" s="6">
        <v>41394.656006944446</v>
      </c>
      <c r="Q361" s="16" t="s">
        <v>104</v>
      </c>
      <c r="R361" s="17" t="s">
        <v>1392</v>
      </c>
      <c r="S361" s="12"/>
      <c r="T361" s="12"/>
      <c r="U361" s="10" t="str">
        <f>HYPERLINK("https://pbs.twimg.com/profile_images/967044247273791489/I3V7XbPG.jpg","View")</f>
        <v>View</v>
      </c>
    </row>
    <row r="362" spans="1:21" ht="61.2">
      <c r="A362" s="6">
        <v>43424.902268518519</v>
      </c>
      <c r="B362" s="7" t="str">
        <f>HYPERLINK("https://twitter.com/lunadebenidorm","@lunadebenidorm")</f>
        <v>@lunadebenidorm</v>
      </c>
      <c r="C362" s="8" t="s">
        <v>106</v>
      </c>
      <c r="D362" s="9" t="s">
        <v>1393</v>
      </c>
      <c r="E362" s="10" t="str">
        <f>HYPERLINK("https://twitter.com/lunadebenidorm/status/1064981525098311680","1064981525098311680")</f>
        <v>1064981525098311680</v>
      </c>
      <c r="F362" s="11" t="s">
        <v>1394</v>
      </c>
      <c r="G362" s="12"/>
      <c r="H362" s="12"/>
      <c r="I362" s="13">
        <v>0</v>
      </c>
      <c r="J362" s="13">
        <v>0</v>
      </c>
      <c r="K362" s="14" t="str">
        <f t="shared" si="128"/>
        <v>Twitter for Android</v>
      </c>
      <c r="L362" s="13">
        <v>3991</v>
      </c>
      <c r="M362" s="13">
        <v>3978</v>
      </c>
      <c r="N362" s="13">
        <v>79</v>
      </c>
      <c r="O362" s="15"/>
      <c r="P362" s="6">
        <v>41461.81186342593</v>
      </c>
      <c r="Q362" s="12"/>
      <c r="R362" s="17" t="s">
        <v>108</v>
      </c>
      <c r="S362" s="12"/>
      <c r="T362" s="12"/>
      <c r="U362" s="10" t="str">
        <f>HYPERLINK("https://pbs.twimg.com/profile_images/1061229593758257153/rePCQt08.jpg","View")</f>
        <v>View</v>
      </c>
    </row>
    <row r="363" spans="1:21" ht="61.2">
      <c r="A363" s="6">
        <v>43424.885023148148</v>
      </c>
      <c r="B363" s="7" t="str">
        <f>HYPERLINK("https://twitter.com/JubeirC","@JubeirC")</f>
        <v>@JubeirC</v>
      </c>
      <c r="C363" s="8" t="s">
        <v>1395</v>
      </c>
      <c r="D363" s="9" t="s">
        <v>1396</v>
      </c>
      <c r="E363" s="10" t="str">
        <f>HYPERLINK("https://twitter.com/JubeirC/status/1064975273479864321","1064975273479864321")</f>
        <v>1064975273479864321</v>
      </c>
      <c r="F363" s="12"/>
      <c r="G363" s="11" t="s">
        <v>1397</v>
      </c>
      <c r="H363" s="12"/>
      <c r="I363" s="13">
        <v>0</v>
      </c>
      <c r="J363" s="13">
        <v>1</v>
      </c>
      <c r="K363" s="14" t="str">
        <f t="shared" si="128"/>
        <v>Twitter for Android</v>
      </c>
      <c r="L363" s="13">
        <v>70</v>
      </c>
      <c r="M363" s="13">
        <v>182</v>
      </c>
      <c r="N363" s="13">
        <v>0</v>
      </c>
      <c r="O363" s="15"/>
      <c r="P363" s="6">
        <v>43418.45893518519</v>
      </c>
      <c r="Q363" s="16" t="s">
        <v>44</v>
      </c>
      <c r="R363" s="17" t="s">
        <v>1398</v>
      </c>
      <c r="S363" s="12"/>
      <c r="T363" s="12"/>
      <c r="U363" s="10" t="str">
        <f>HYPERLINK("https://pbs.twimg.com/profile_images/1062652018391769088/3bCwwZzq.jpg","View")</f>
        <v>View</v>
      </c>
    </row>
    <row r="364" spans="1:21" ht="51">
      <c r="A364" s="6">
        <v>43424.884212962963</v>
      </c>
      <c r="B364" s="7" t="str">
        <f>HYPERLINK("https://twitter.com/eguskialde369","@eguskialde369")</f>
        <v>@eguskialde369</v>
      </c>
      <c r="C364" s="8" t="s">
        <v>1399</v>
      </c>
      <c r="D364" s="9" t="s">
        <v>1400</v>
      </c>
      <c r="E364" s="10" t="str">
        <f>HYPERLINK("https://twitter.com/eguskialde369/status/1064974981807845376","1064974981807845376")</f>
        <v>1064974981807845376</v>
      </c>
      <c r="F364" s="16" t="s">
        <v>1402</v>
      </c>
      <c r="G364" s="12"/>
      <c r="H364" s="12"/>
      <c r="I364" s="13">
        <v>0</v>
      </c>
      <c r="J364" s="13">
        <v>0</v>
      </c>
      <c r="K364" s="14" t="str">
        <f t="shared" si="128"/>
        <v>Twitter for Android</v>
      </c>
      <c r="L364" s="13">
        <v>1040</v>
      </c>
      <c r="M364" s="13">
        <v>963</v>
      </c>
      <c r="N364" s="13">
        <v>20</v>
      </c>
      <c r="O364" s="15"/>
      <c r="P364" s="6">
        <v>41442.00849537037</v>
      </c>
      <c r="Q364" s="12"/>
      <c r="R364" s="17" t="s">
        <v>1404</v>
      </c>
      <c r="S364" s="12"/>
      <c r="T364" s="12"/>
      <c r="U364" s="10" t="str">
        <f>HYPERLINK("https://pbs.twimg.com/profile_images/1060767567105552384/wdHOLC0t.jpg","View")</f>
        <v>View</v>
      </c>
    </row>
    <row r="365" spans="1:21" ht="51">
      <c r="A365" s="6">
        <v>43424.883587962962</v>
      </c>
      <c r="B365" s="7" t="str">
        <f>HYPERLINK("https://twitter.com/voxnoticias_es","@voxnoticias_es")</f>
        <v>@voxnoticias_es</v>
      </c>
      <c r="C365" s="8" t="s">
        <v>234</v>
      </c>
      <c r="D365" s="9" t="s">
        <v>1408</v>
      </c>
      <c r="E365" s="10" t="str">
        <f>HYPERLINK("https://twitter.com/voxnoticias_es/status/1064974753923039232","1064974753923039232")</f>
        <v>1064974753923039232</v>
      </c>
      <c r="F365" s="12"/>
      <c r="G365" s="11" t="s">
        <v>1409</v>
      </c>
      <c r="H365" s="12"/>
      <c r="I365" s="13">
        <v>320</v>
      </c>
      <c r="J365" s="13">
        <v>600</v>
      </c>
      <c r="K365" s="14" t="str">
        <f t="shared" si="128"/>
        <v>Twitter for Android</v>
      </c>
      <c r="L365" s="13">
        <v>19279</v>
      </c>
      <c r="M365" s="13">
        <v>2124</v>
      </c>
      <c r="N365" s="13">
        <v>136</v>
      </c>
      <c r="O365" s="15"/>
      <c r="P365" s="6">
        <v>41687.875428240739</v>
      </c>
      <c r="Q365" s="16" t="s">
        <v>238</v>
      </c>
      <c r="R365" s="17" t="s">
        <v>239</v>
      </c>
      <c r="S365" s="11" t="s">
        <v>240</v>
      </c>
      <c r="T365" s="12"/>
      <c r="U365" s="10" t="str">
        <f>HYPERLINK("https://pbs.twimg.com/profile_images/900432165195980801/-2-6PzuU.jpg","View")</f>
        <v>View</v>
      </c>
    </row>
    <row r="366" spans="1:21" ht="13.2">
      <c r="A366" s="6">
        <v>43424.882604166662</v>
      </c>
      <c r="B366" s="7" t="str">
        <f>HYPERLINK("https://twitter.com/JuanjoKonig35","@JuanjoKonig35")</f>
        <v>@JuanjoKonig35</v>
      </c>
      <c r="C366" s="8" t="s">
        <v>1410</v>
      </c>
      <c r="D366" s="9" t="s">
        <v>1411</v>
      </c>
      <c r="E366" s="10" t="str">
        <f>HYPERLINK("https://twitter.com/JuanjoKonig35/status/1064974396933181441","1064974396933181441")</f>
        <v>1064974396933181441</v>
      </c>
      <c r="F366" s="12"/>
      <c r="G366" s="11" t="s">
        <v>1412</v>
      </c>
      <c r="H366" s="12"/>
      <c r="I366" s="13">
        <v>0</v>
      </c>
      <c r="J366" s="13">
        <v>0</v>
      </c>
      <c r="K366" s="14" t="str">
        <f>HYPERLINK("http://twitter.com/download/iphone","Twitter for iPhone")</f>
        <v>Twitter for iPhone</v>
      </c>
      <c r="L366" s="13">
        <v>465</v>
      </c>
      <c r="M366" s="13">
        <v>1007</v>
      </c>
      <c r="N366" s="13">
        <v>2</v>
      </c>
      <c r="O366" s="15"/>
      <c r="P366" s="6">
        <v>42521.806342592594</v>
      </c>
      <c r="Q366" s="12"/>
      <c r="R366" s="21"/>
      <c r="S366" s="12"/>
      <c r="T366" s="12"/>
      <c r="U366" s="10" t="str">
        <f>HYPERLINK("https://pbs.twimg.com/profile_images/1018551028382359552/naXAjw32.jpg","View")</f>
        <v>View</v>
      </c>
    </row>
    <row r="367" spans="1:21" ht="20.399999999999999">
      <c r="A367" s="6">
        <v>43424.882361111115</v>
      </c>
      <c r="B367" s="7" t="str">
        <f>HYPERLINK("https://twitter.com/ManuelaSesIlles","@ManuelaSesIlles")</f>
        <v>@ManuelaSesIlles</v>
      </c>
      <c r="C367" s="8" t="s">
        <v>1413</v>
      </c>
      <c r="D367" s="9" t="s">
        <v>1414</v>
      </c>
      <c r="E367" s="10" t="str">
        <f>HYPERLINK("https://twitter.com/ManuelaSesIlles/status/1064974309905571841","1064974309905571841")</f>
        <v>1064974309905571841</v>
      </c>
      <c r="F367" s="11" t="s">
        <v>1417</v>
      </c>
      <c r="G367" s="12"/>
      <c r="H367" s="12"/>
      <c r="I367" s="13">
        <v>2</v>
      </c>
      <c r="J367" s="13">
        <v>2</v>
      </c>
      <c r="K367" s="14" t="str">
        <f t="shared" ref="K367:K368" si="129">HYPERLINK("http://twitter.com/download/android","Twitter for Android")</f>
        <v>Twitter for Android</v>
      </c>
      <c r="L367" s="13">
        <v>2608</v>
      </c>
      <c r="M367" s="13">
        <v>2706</v>
      </c>
      <c r="N367" s="13">
        <v>4</v>
      </c>
      <c r="O367" s="15"/>
      <c r="P367" s="6">
        <v>43144.485266203701</v>
      </c>
      <c r="Q367" s="16" t="s">
        <v>66</v>
      </c>
      <c r="R367" s="17" t="s">
        <v>1418</v>
      </c>
      <c r="S367" s="12"/>
      <c r="T367" s="12"/>
      <c r="U367" s="10" t="str">
        <f>HYPERLINK("https://pbs.twimg.com/profile_images/963501201219293184/N6-kNIJe.jpg","View")</f>
        <v>View</v>
      </c>
    </row>
    <row r="368" spans="1:21" ht="30.6">
      <c r="A368" s="6">
        <v>43424.879143518519</v>
      </c>
      <c r="B368" s="7" t="str">
        <f>HYPERLINK("https://twitter.com/lunadebenidorm","@lunadebenidorm")</f>
        <v>@lunadebenidorm</v>
      </c>
      <c r="C368" s="8" t="s">
        <v>106</v>
      </c>
      <c r="D368" s="9" t="s">
        <v>1420</v>
      </c>
      <c r="E368" s="10" t="str">
        <f>HYPERLINK("https://twitter.com/lunadebenidorm/status/1064973145445199872","1064973145445199872")</f>
        <v>1064973145445199872</v>
      </c>
      <c r="F368" s="11" t="s">
        <v>1423</v>
      </c>
      <c r="G368" s="12"/>
      <c r="H368" s="12"/>
      <c r="I368" s="13">
        <v>1</v>
      </c>
      <c r="J368" s="13">
        <v>0</v>
      </c>
      <c r="K368" s="14" t="str">
        <f t="shared" si="129"/>
        <v>Twitter for Android</v>
      </c>
      <c r="L368" s="13">
        <v>3991</v>
      </c>
      <c r="M368" s="13">
        <v>3978</v>
      </c>
      <c r="N368" s="13">
        <v>79</v>
      </c>
      <c r="O368" s="15"/>
      <c r="P368" s="6">
        <v>41461.81186342593</v>
      </c>
      <c r="Q368" s="12"/>
      <c r="R368" s="17" t="s">
        <v>108</v>
      </c>
      <c r="S368" s="12"/>
      <c r="T368" s="12"/>
      <c r="U368" s="10" t="str">
        <f>HYPERLINK("https://pbs.twimg.com/profile_images/1061229593758257153/rePCQt08.jpg","View")</f>
        <v>View</v>
      </c>
    </row>
    <row r="369" spans="1:21" ht="51">
      <c r="A369" s="6">
        <v>43424.875694444447</v>
      </c>
      <c r="B369" s="7" t="str">
        <f>HYPERLINK("https://twitter.com/bitMomentum","@bitMomentum")</f>
        <v>@bitMomentum</v>
      </c>
      <c r="C369" s="8" t="s">
        <v>368</v>
      </c>
      <c r="D369" s="9" t="s">
        <v>1427</v>
      </c>
      <c r="E369" s="10" t="str">
        <f>HYPERLINK("https://twitter.com/bitMomentum/status/1064971893080498176","1064971893080498176")</f>
        <v>1064971893080498176</v>
      </c>
      <c r="F369" s="12"/>
      <c r="G369" s="12"/>
      <c r="H369" s="12"/>
      <c r="I369" s="13">
        <v>0</v>
      </c>
      <c r="J369" s="13">
        <v>1</v>
      </c>
      <c r="K369" s="14" t="str">
        <f>HYPERLINK("http://www.bitmomentum.com","bitMomentum Bot")</f>
        <v>bitMomentum Bot</v>
      </c>
      <c r="L369" s="13">
        <v>10132</v>
      </c>
      <c r="M369" s="13">
        <v>1060</v>
      </c>
      <c r="N369" s="13">
        <v>267</v>
      </c>
      <c r="O369" s="15"/>
      <c r="P369" s="6">
        <v>41608.667511574073</v>
      </c>
      <c r="Q369" s="12"/>
      <c r="R369" s="17" t="s">
        <v>371</v>
      </c>
      <c r="S369" s="11" t="s">
        <v>372</v>
      </c>
      <c r="T369" s="12"/>
      <c r="U369" s="10" t="str">
        <f>HYPERLINK("https://pbs.twimg.com/profile_images/378800000862185241/20ij2H3u.png","View")</f>
        <v>View</v>
      </c>
    </row>
    <row r="370" spans="1:21" ht="20.399999999999999">
      <c r="A370" s="6">
        <v>43424.868425925924</v>
      </c>
      <c r="B370" s="7" t="str">
        <f>HYPERLINK("https://twitter.com/Sevilla_Inf","@Sevilla_Inf")</f>
        <v>@Sevilla_Inf</v>
      </c>
      <c r="C370" s="8" t="s">
        <v>1428</v>
      </c>
      <c r="D370" s="9" t="s">
        <v>1429</v>
      </c>
      <c r="E370" s="10" t="str">
        <f>HYPERLINK("https://twitter.com/Sevilla_Inf/status/1064969262106841089","1064969262106841089")</f>
        <v>1064969262106841089</v>
      </c>
      <c r="F370" s="11" t="s">
        <v>1430</v>
      </c>
      <c r="G370" s="12"/>
      <c r="H370" s="12"/>
      <c r="I370" s="13">
        <v>0</v>
      </c>
      <c r="J370" s="13">
        <v>1</v>
      </c>
      <c r="K370" s="14" t="str">
        <f t="shared" ref="K370:K373" si="130">HYPERLINK("http://twitter.com/download/android","Twitter for Android")</f>
        <v>Twitter for Android</v>
      </c>
      <c r="L370" s="13">
        <v>4119</v>
      </c>
      <c r="M370" s="13">
        <v>72</v>
      </c>
      <c r="N370" s="13">
        <v>128</v>
      </c>
      <c r="O370" s="15"/>
      <c r="P370" s="6">
        <v>42130.637719907405</v>
      </c>
      <c r="Q370" s="16" t="s">
        <v>34</v>
      </c>
      <c r="R370" s="17" t="s">
        <v>1431</v>
      </c>
      <c r="S370" s="11" t="s">
        <v>1432</v>
      </c>
      <c r="T370" s="12"/>
      <c r="U370" s="10" t="str">
        <f>HYPERLINK("https://pbs.twimg.com/profile_images/985253106949738496/slrsjper.jpg","View")</f>
        <v>View</v>
      </c>
    </row>
    <row r="371" spans="1:21" ht="30.6">
      <c r="A371" s="6">
        <v>43424.86273148148</v>
      </c>
      <c r="B371" s="7" t="str">
        <f>HYPERLINK("https://twitter.com/ERDEJEREZ","@ERDEJEREZ")</f>
        <v>@ERDEJEREZ</v>
      </c>
      <c r="C371" s="8" t="s">
        <v>188</v>
      </c>
      <c r="D371" s="9" t="s">
        <v>1433</v>
      </c>
      <c r="E371" s="10" t="str">
        <f>HYPERLINK("https://twitter.com/ERDEJEREZ/status/1064967197041270784","1064967197041270784")</f>
        <v>1064967197041270784</v>
      </c>
      <c r="F371" s="11" t="s">
        <v>1434</v>
      </c>
      <c r="G371" s="11" t="s">
        <v>1436</v>
      </c>
      <c r="H371" s="12"/>
      <c r="I371" s="13">
        <v>0</v>
      </c>
      <c r="J371" s="13">
        <v>0</v>
      </c>
      <c r="K371" s="14" t="str">
        <f t="shared" si="130"/>
        <v>Twitter for Android</v>
      </c>
      <c r="L371" s="13">
        <v>150</v>
      </c>
      <c r="M371" s="13">
        <v>142</v>
      </c>
      <c r="N371" s="13">
        <v>1</v>
      </c>
      <c r="O371" s="15"/>
      <c r="P371" s="6">
        <v>40356.838599537034</v>
      </c>
      <c r="Q371" s="12"/>
      <c r="R371" s="17" t="s">
        <v>1058</v>
      </c>
      <c r="S371" s="12"/>
      <c r="T371" s="12"/>
      <c r="U371" s="10" t="str">
        <f>HYPERLINK("https://pbs.twimg.com/profile_images/1025909586568663040/b6IHq4Xi.jpg","View")</f>
        <v>View</v>
      </c>
    </row>
    <row r="372" spans="1:21" ht="61.2">
      <c r="A372" s="6">
        <v>43424.857685185183</v>
      </c>
      <c r="B372" s="7" t="str">
        <f t="shared" ref="B372:B373" si="131">HYPERLINK("https://twitter.com/UlisesGamez10","@UlisesGamez10")</f>
        <v>@UlisesGamez10</v>
      </c>
      <c r="C372" s="8" t="s">
        <v>23</v>
      </c>
      <c r="D372" s="9" t="s">
        <v>1441</v>
      </c>
      <c r="E372" s="10" t="str">
        <f>HYPERLINK("https://twitter.com/UlisesGamez10/status/1064965368106688512","1064965368106688512")</f>
        <v>1064965368106688512</v>
      </c>
      <c r="F372" s="12"/>
      <c r="G372" s="12"/>
      <c r="H372" s="12"/>
      <c r="I372" s="13">
        <v>0</v>
      </c>
      <c r="J372" s="13">
        <v>1</v>
      </c>
      <c r="K372" s="14" t="str">
        <f t="shared" si="130"/>
        <v>Twitter for Android</v>
      </c>
      <c r="L372" s="13">
        <v>1162</v>
      </c>
      <c r="M372" s="13">
        <v>5000</v>
      </c>
      <c r="N372" s="13">
        <v>0</v>
      </c>
      <c r="O372" s="15"/>
      <c r="P372" s="6">
        <v>43190.59783564815</v>
      </c>
      <c r="Q372" s="16" t="s">
        <v>25</v>
      </c>
      <c r="R372" s="17" t="s">
        <v>27</v>
      </c>
      <c r="S372" s="12"/>
      <c r="T372" s="12"/>
      <c r="U372" s="10" t="str">
        <f t="shared" ref="U372:U373" si="132">HYPERLINK("https://pbs.twimg.com/profile_images/1031158722586980352/ItGPtjBj.jpg","View")</f>
        <v>View</v>
      </c>
    </row>
    <row r="373" spans="1:21" ht="61.2">
      <c r="A373" s="6">
        <v>43424.847928240742</v>
      </c>
      <c r="B373" s="7" t="str">
        <f t="shared" si="131"/>
        <v>@UlisesGamez10</v>
      </c>
      <c r="C373" s="8" t="s">
        <v>23</v>
      </c>
      <c r="D373" s="9" t="s">
        <v>1445</v>
      </c>
      <c r="E373" s="10" t="str">
        <f>HYPERLINK("https://twitter.com/UlisesGamez10/status/1064961831888932864","1064961831888932864")</f>
        <v>1064961831888932864</v>
      </c>
      <c r="F373" s="12"/>
      <c r="G373" s="12"/>
      <c r="H373" s="12"/>
      <c r="I373" s="13">
        <v>1</v>
      </c>
      <c r="J373" s="13">
        <v>1</v>
      </c>
      <c r="K373" s="14" t="str">
        <f t="shared" si="130"/>
        <v>Twitter for Android</v>
      </c>
      <c r="L373" s="13">
        <v>1162</v>
      </c>
      <c r="M373" s="13">
        <v>5000</v>
      </c>
      <c r="N373" s="13">
        <v>0</v>
      </c>
      <c r="O373" s="15"/>
      <c r="P373" s="6">
        <v>43190.59783564815</v>
      </c>
      <c r="Q373" s="16" t="s">
        <v>25</v>
      </c>
      <c r="R373" s="17" t="s">
        <v>27</v>
      </c>
      <c r="S373" s="12"/>
      <c r="T373" s="12"/>
      <c r="U373" s="10" t="str">
        <f t="shared" si="132"/>
        <v>View</v>
      </c>
    </row>
    <row r="374" spans="1:21" ht="51">
      <c r="A374" s="6">
        <v>43424.834027777775</v>
      </c>
      <c r="B374" s="7" t="str">
        <f>HYPERLINK("https://twitter.com/bitMomentum","@bitMomentum")</f>
        <v>@bitMomentum</v>
      </c>
      <c r="C374" s="8" t="s">
        <v>368</v>
      </c>
      <c r="D374" s="9" t="s">
        <v>1448</v>
      </c>
      <c r="E374" s="10" t="str">
        <f>HYPERLINK("https://twitter.com/bitMomentum/status/1064956793552601093","1064956793552601093")</f>
        <v>1064956793552601093</v>
      </c>
      <c r="F374" s="12"/>
      <c r="G374" s="12"/>
      <c r="H374" s="12"/>
      <c r="I374" s="13">
        <v>0</v>
      </c>
      <c r="J374" s="13">
        <v>0</v>
      </c>
      <c r="K374" s="14" t="str">
        <f>HYPERLINK("http://www.bitmomentum.com","bitMomentum Bot")</f>
        <v>bitMomentum Bot</v>
      </c>
      <c r="L374" s="13">
        <v>10132</v>
      </c>
      <c r="M374" s="13">
        <v>1060</v>
      </c>
      <c r="N374" s="13">
        <v>267</v>
      </c>
      <c r="O374" s="15"/>
      <c r="P374" s="6">
        <v>41608.667511574073</v>
      </c>
      <c r="Q374" s="12"/>
      <c r="R374" s="17" t="s">
        <v>371</v>
      </c>
      <c r="S374" s="11" t="s">
        <v>372</v>
      </c>
      <c r="T374" s="12"/>
      <c r="U374" s="10" t="str">
        <f>HYPERLINK("https://pbs.twimg.com/profile_images/378800000862185241/20ij2H3u.png","View")</f>
        <v>View</v>
      </c>
    </row>
    <row r="375" spans="1:21" ht="40.799999999999997">
      <c r="A375" s="6">
        <v>43424.830590277779</v>
      </c>
      <c r="B375" s="7" t="str">
        <f>HYPERLINK("https://twitter.com/andaluciacaza","@andaluciacaza")</f>
        <v>@andaluciacaza</v>
      </c>
      <c r="C375" s="8" t="s">
        <v>578</v>
      </c>
      <c r="D375" s="9" t="s">
        <v>1449</v>
      </c>
      <c r="E375" s="10" t="str">
        <f>HYPERLINK("https://twitter.com/andaluciacaza/status/1064955548183998470","1064955548183998470")</f>
        <v>1064955548183998470</v>
      </c>
      <c r="F375" s="12"/>
      <c r="G375" s="11" t="s">
        <v>1450</v>
      </c>
      <c r="H375" s="12"/>
      <c r="I375" s="13">
        <v>6</v>
      </c>
      <c r="J375" s="13">
        <v>13</v>
      </c>
      <c r="K375" s="14" t="str">
        <f>HYPERLINK("http://twitter.com/download/iphone","Twitter for iPhone")</f>
        <v>Twitter for iPhone</v>
      </c>
      <c r="L375" s="13">
        <v>5268</v>
      </c>
      <c r="M375" s="13">
        <v>609</v>
      </c>
      <c r="N375" s="13">
        <v>42</v>
      </c>
      <c r="O375" s="15"/>
      <c r="P375" s="6">
        <v>40963.870659722219</v>
      </c>
      <c r="Q375" s="16" t="s">
        <v>583</v>
      </c>
      <c r="R375" s="17" t="s">
        <v>584</v>
      </c>
      <c r="S375" s="11" t="s">
        <v>585</v>
      </c>
      <c r="T375" s="12"/>
      <c r="U375" s="10" t="str">
        <f>HYPERLINK("https://pbs.twimg.com/profile_images/933001755230703618/pWJ6pIQX.jpg","View")</f>
        <v>View</v>
      </c>
    </row>
    <row r="376" spans="1:21" ht="30.6">
      <c r="A376" s="6">
        <v>43424.822777777779</v>
      </c>
      <c r="B376" s="7" t="str">
        <f>HYPERLINK("https://twitter.com/8chiclana","@8chiclana")</f>
        <v>@8chiclana</v>
      </c>
      <c r="C376" s="8" t="s">
        <v>1451</v>
      </c>
      <c r="D376" s="9" t="s">
        <v>1452</v>
      </c>
      <c r="E376" s="10" t="str">
        <f>HYPERLINK("https://twitter.com/8chiclana/status/1064952718031228928","1064952718031228928")</f>
        <v>1064952718031228928</v>
      </c>
      <c r="F376" s="11" t="s">
        <v>1453</v>
      </c>
      <c r="G376" s="12"/>
      <c r="H376" s="12"/>
      <c r="I376" s="13">
        <v>0</v>
      </c>
      <c r="J376" s="13">
        <v>0</v>
      </c>
      <c r="K376" s="14" t="str">
        <f>HYPERLINK("http://twitter.com","Twitter Web Client")</f>
        <v>Twitter Web Client</v>
      </c>
      <c r="L376" s="13">
        <v>3537</v>
      </c>
      <c r="M376" s="13">
        <v>268</v>
      </c>
      <c r="N376" s="13">
        <v>48</v>
      </c>
      <c r="O376" s="15"/>
      <c r="P376" s="6">
        <v>41093.567361111112</v>
      </c>
      <c r="Q376" s="12"/>
      <c r="R376" s="17" t="s">
        <v>1454</v>
      </c>
      <c r="S376" s="12"/>
      <c r="T376" s="12"/>
      <c r="U376" s="10" t="str">
        <f>HYPERLINK("https://pbs.twimg.com/profile_images/3717607628/9cd7276ee10c2b1fb60c793373297817.jpeg","View")</f>
        <v>View</v>
      </c>
    </row>
    <row r="377" spans="1:21" ht="61.2">
      <c r="A377" s="6">
        <v>43424.817928240736</v>
      </c>
      <c r="B377" s="7" t="str">
        <f>HYPERLINK("https://twitter.com/UlisesGamez10","@UlisesGamez10")</f>
        <v>@UlisesGamez10</v>
      </c>
      <c r="C377" s="8" t="s">
        <v>23</v>
      </c>
      <c r="D377" s="9" t="s">
        <v>1455</v>
      </c>
      <c r="E377" s="10" t="str">
        <f>HYPERLINK("https://twitter.com/UlisesGamez10/status/1064950959007326208","1064950959007326208")</f>
        <v>1064950959007326208</v>
      </c>
      <c r="F377" s="12"/>
      <c r="G377" s="12"/>
      <c r="H377" s="12"/>
      <c r="I377" s="13">
        <v>0</v>
      </c>
      <c r="J377" s="13">
        <v>1</v>
      </c>
      <c r="K377" s="14" t="str">
        <f>HYPERLINK("http://twitter.com/download/android","Twitter for Android")</f>
        <v>Twitter for Android</v>
      </c>
      <c r="L377" s="13">
        <v>1162</v>
      </c>
      <c r="M377" s="13">
        <v>5000</v>
      </c>
      <c r="N377" s="13">
        <v>0</v>
      </c>
      <c r="O377" s="15"/>
      <c r="P377" s="6">
        <v>43190.59783564815</v>
      </c>
      <c r="Q377" s="16" t="s">
        <v>25</v>
      </c>
      <c r="R377" s="17" t="s">
        <v>27</v>
      </c>
      <c r="S377" s="12"/>
      <c r="T377" s="12"/>
      <c r="U377" s="10" t="str">
        <f>HYPERLINK("https://pbs.twimg.com/profile_images/1031158722586980352/ItGPtjBj.jpg","View")</f>
        <v>View</v>
      </c>
    </row>
    <row r="378" spans="1:21" ht="20.399999999999999">
      <c r="A378" s="6">
        <v>43424.816423611112</v>
      </c>
      <c r="B378" s="7" t="str">
        <f>HYPERLINK("https://twitter.com/VoxLerida","@VoxLerida")</f>
        <v>@VoxLerida</v>
      </c>
      <c r="C378" s="8" t="s">
        <v>1456</v>
      </c>
      <c r="D378" s="9" t="s">
        <v>1457</v>
      </c>
      <c r="E378" s="10" t="str">
        <f>HYPERLINK("https://twitter.com/VoxLerida/status/1064950415412871169","1064950415412871169")</f>
        <v>1064950415412871169</v>
      </c>
      <c r="F378" s="12"/>
      <c r="G378" s="11" t="s">
        <v>1458</v>
      </c>
      <c r="H378" s="12"/>
      <c r="I378" s="13">
        <v>2</v>
      </c>
      <c r="J378" s="13">
        <v>5</v>
      </c>
      <c r="K378" s="14" t="str">
        <f>HYPERLINK("https://mobile.twitter.com","Twitter Lite")</f>
        <v>Twitter Lite</v>
      </c>
      <c r="L378" s="13">
        <v>2209</v>
      </c>
      <c r="M378" s="13">
        <v>2521</v>
      </c>
      <c r="N378" s="13">
        <v>18</v>
      </c>
      <c r="O378" s="15"/>
      <c r="P378" s="6">
        <v>42086.878125000003</v>
      </c>
      <c r="Q378" s="16" t="s">
        <v>1459</v>
      </c>
      <c r="R378" s="17" t="s">
        <v>1460</v>
      </c>
      <c r="S378" s="11" t="s">
        <v>1461</v>
      </c>
      <c r="T378" s="12"/>
      <c r="U378" s="10" t="str">
        <f>HYPERLINK("https://pbs.twimg.com/profile_images/681453671343898624/16YS7zIE.jpg","View")</f>
        <v>View</v>
      </c>
    </row>
    <row r="379" spans="1:21" ht="30.6">
      <c r="A379" s="6">
        <v>43424.807430555556</v>
      </c>
      <c r="B379" s="7" t="str">
        <f>HYPERLINK("https://twitter.com/debate_es","@debate_es")</f>
        <v>@debate_es</v>
      </c>
      <c r="C379" s="25" t="s">
        <v>1311</v>
      </c>
      <c r="D379" s="9" t="s">
        <v>1462</v>
      </c>
      <c r="E379" s="10" t="str">
        <f>HYPERLINK("https://twitter.com/debate_es/status/1064947158355505152","1064947158355505152")</f>
        <v>1064947158355505152</v>
      </c>
      <c r="F379" s="11" t="s">
        <v>1466</v>
      </c>
      <c r="G379" s="12"/>
      <c r="H379" s="12"/>
      <c r="I379" s="13">
        <v>0</v>
      </c>
      <c r="J379" s="13">
        <v>0</v>
      </c>
      <c r="K379" s="14" t="str">
        <f>HYPERLINK("https://about.twitter.com/products/tweetdeck","TweetDeck")</f>
        <v>TweetDeck</v>
      </c>
      <c r="L379" s="13">
        <v>1737</v>
      </c>
      <c r="M379" s="13">
        <v>0</v>
      </c>
      <c r="N379" s="13">
        <v>24</v>
      </c>
      <c r="O379" s="15"/>
      <c r="P379" s="6">
        <v>43258.540625000001</v>
      </c>
      <c r="Q379" s="12"/>
      <c r="R379" s="17" t="s">
        <v>1317</v>
      </c>
      <c r="S379" s="11" t="s">
        <v>1318</v>
      </c>
      <c r="T379" s="12"/>
      <c r="U379" s="10" t="str">
        <f>HYPERLINK("https://pbs.twimg.com/profile_images/1022497434029699073/kza_Om7G.jpg","View")</f>
        <v>View</v>
      </c>
    </row>
    <row r="380" spans="1:21" ht="51">
      <c r="A380" s="6">
        <v>43424.801481481481</v>
      </c>
      <c r="B380" s="7" t="str">
        <f>HYPERLINK("https://twitter.com/PadelAntonio","@PadelAntonio")</f>
        <v>@PadelAntonio</v>
      </c>
      <c r="C380" s="8" t="s">
        <v>1468</v>
      </c>
      <c r="D380" s="9" t="s">
        <v>1469</v>
      </c>
      <c r="E380" s="10" t="str">
        <f>HYPERLINK("https://twitter.com/PadelAntonio/status/1064944998456705024","1064944998456705024")</f>
        <v>1064944998456705024</v>
      </c>
      <c r="F380" s="12"/>
      <c r="G380" s="11" t="s">
        <v>1470</v>
      </c>
      <c r="H380" s="12"/>
      <c r="I380" s="13">
        <v>0</v>
      </c>
      <c r="J380" s="13">
        <v>0</v>
      </c>
      <c r="K380" s="14" t="str">
        <f>HYPERLINK("http://twitter.com/download/android","Twitter for Android")</f>
        <v>Twitter for Android</v>
      </c>
      <c r="L380" s="13">
        <v>140</v>
      </c>
      <c r="M380" s="13">
        <v>106</v>
      </c>
      <c r="N380" s="13">
        <v>0</v>
      </c>
      <c r="O380" s="15"/>
      <c r="P380" s="6">
        <v>43211.665474537032</v>
      </c>
      <c r="Q380" s="16" t="s">
        <v>1471</v>
      </c>
      <c r="R380" s="17" t="s">
        <v>1472</v>
      </c>
      <c r="S380" s="11" t="s">
        <v>1473</v>
      </c>
      <c r="T380" s="12"/>
      <c r="U380" s="10" t="str">
        <f>HYPERLINK("https://pbs.twimg.com/profile_images/1056106591433510913/CPWEbAKD.jpg","View")</f>
        <v>View</v>
      </c>
    </row>
    <row r="381" spans="1:21" ht="40.799999999999997">
      <c r="A381" s="6">
        <v>43424.798831018517</v>
      </c>
      <c r="B381" s="7" t="str">
        <f>HYPERLINK("https://twitter.com/AldonzaLorenz13","@AldonzaLorenz13")</f>
        <v>@AldonzaLorenz13</v>
      </c>
      <c r="C381" s="8" t="s">
        <v>1475</v>
      </c>
      <c r="D381" s="9" t="s">
        <v>1476</v>
      </c>
      <c r="E381" s="10" t="str">
        <f>HYPERLINK("https://twitter.com/AldonzaLorenz13/status/1064944040364437505","1064944040364437505")</f>
        <v>1064944040364437505</v>
      </c>
      <c r="F381" s="12"/>
      <c r="G381" s="11" t="s">
        <v>1477</v>
      </c>
      <c r="H381" s="12"/>
      <c r="I381" s="13">
        <v>0</v>
      </c>
      <c r="J381" s="13">
        <v>0</v>
      </c>
      <c r="K381" s="14" t="str">
        <f>HYPERLINK("http://twitter.com/download/iphone","Twitter for iPhone")</f>
        <v>Twitter for iPhone</v>
      </c>
      <c r="L381" s="13">
        <v>31</v>
      </c>
      <c r="M381" s="13">
        <v>74</v>
      </c>
      <c r="N381" s="13">
        <v>0</v>
      </c>
      <c r="O381" s="15"/>
      <c r="P381" s="6">
        <v>43344.875173611115</v>
      </c>
      <c r="Q381" s="16" t="s">
        <v>66</v>
      </c>
      <c r="R381" s="17" t="s">
        <v>1478</v>
      </c>
      <c r="S381" s="12"/>
      <c r="T381" s="12"/>
      <c r="U381" s="10" t="str">
        <f>HYPERLINK("https://pbs.twimg.com/profile_images/1054792302152114181/XQbFnblS.jpg","View")</f>
        <v>View</v>
      </c>
    </row>
    <row r="382" spans="1:21" ht="51">
      <c r="A382" s="6">
        <v>43424.79305555555</v>
      </c>
      <c r="B382" s="7" t="str">
        <f t="shared" ref="B382:B383" si="133">HYPERLINK("https://twitter.com/bitMomentum","@bitMomentum")</f>
        <v>@bitMomentum</v>
      </c>
      <c r="C382" s="8" t="s">
        <v>368</v>
      </c>
      <c r="D382" s="9" t="s">
        <v>1481</v>
      </c>
      <c r="E382" s="10" t="str">
        <f>HYPERLINK("https://twitter.com/bitMomentum/status/1064941945733226496","1064941945733226496")</f>
        <v>1064941945733226496</v>
      </c>
      <c r="F382" s="12"/>
      <c r="G382" s="12"/>
      <c r="H382" s="12"/>
      <c r="I382" s="13">
        <v>0</v>
      </c>
      <c r="J382" s="13">
        <v>0</v>
      </c>
      <c r="K382" s="14" t="str">
        <f t="shared" ref="K382:K383" si="134">HYPERLINK("http://www.bitmomentum.com","bitMomentum Bot")</f>
        <v>bitMomentum Bot</v>
      </c>
      <c r="L382" s="13">
        <v>10132</v>
      </c>
      <c r="M382" s="13">
        <v>1060</v>
      </c>
      <c r="N382" s="13">
        <v>267</v>
      </c>
      <c r="O382" s="15"/>
      <c r="P382" s="6">
        <v>41608.667511574073</v>
      </c>
      <c r="Q382" s="12"/>
      <c r="R382" s="17" t="s">
        <v>371</v>
      </c>
      <c r="S382" s="11" t="s">
        <v>372</v>
      </c>
      <c r="T382" s="12"/>
      <c r="U382" s="10" t="str">
        <f t="shared" ref="U382:U383" si="135">HYPERLINK("https://pbs.twimg.com/profile_images/378800000862185241/20ij2H3u.png","View")</f>
        <v>View</v>
      </c>
    </row>
    <row r="383" spans="1:21" ht="51">
      <c r="A383" s="6">
        <v>43424.792361111111</v>
      </c>
      <c r="B383" s="7" t="str">
        <f t="shared" si="133"/>
        <v>@bitMomentum</v>
      </c>
      <c r="C383" s="8" t="s">
        <v>368</v>
      </c>
      <c r="D383" s="9" t="s">
        <v>1482</v>
      </c>
      <c r="E383" s="10" t="str">
        <f>HYPERLINK("https://twitter.com/bitMomentum/status/1064941694347563009","1064941694347563009")</f>
        <v>1064941694347563009</v>
      </c>
      <c r="F383" s="12"/>
      <c r="G383" s="12"/>
      <c r="H383" s="12"/>
      <c r="I383" s="13">
        <v>0</v>
      </c>
      <c r="J383" s="13">
        <v>0</v>
      </c>
      <c r="K383" s="14" t="str">
        <f t="shared" si="134"/>
        <v>bitMomentum Bot</v>
      </c>
      <c r="L383" s="13">
        <v>10132</v>
      </c>
      <c r="M383" s="13">
        <v>1060</v>
      </c>
      <c r="N383" s="13">
        <v>267</v>
      </c>
      <c r="O383" s="15"/>
      <c r="P383" s="6">
        <v>41608.667511574073</v>
      </c>
      <c r="Q383" s="12"/>
      <c r="R383" s="17" t="s">
        <v>371</v>
      </c>
      <c r="S383" s="11" t="s">
        <v>372</v>
      </c>
      <c r="T383" s="12"/>
      <c r="U383" s="10" t="str">
        <f t="shared" si="135"/>
        <v>View</v>
      </c>
    </row>
    <row r="384" spans="1:21" ht="40.799999999999997">
      <c r="A384" s="6">
        <v>43424.770914351851</v>
      </c>
      <c r="B384" s="7" t="str">
        <f>HYPERLINK("https://twitter.com/MarleneDiafano","@MarleneDiafano")</f>
        <v>@MarleneDiafano</v>
      </c>
      <c r="C384" s="8" t="s">
        <v>1484</v>
      </c>
      <c r="D384" s="9" t="s">
        <v>1485</v>
      </c>
      <c r="E384" s="10" t="str">
        <f>HYPERLINK("https://twitter.com/MarleneDiafano/status/1064933924739141632","1064933924739141632")</f>
        <v>1064933924739141632</v>
      </c>
      <c r="F384" s="12"/>
      <c r="G384" s="11" t="s">
        <v>1486</v>
      </c>
      <c r="H384" s="12"/>
      <c r="I384" s="13">
        <v>37</v>
      </c>
      <c r="J384" s="13">
        <v>53</v>
      </c>
      <c r="K384" s="14" t="str">
        <f t="shared" ref="K384:K385" si="136">HYPERLINK("http://twitter.com","Twitter Web Client")</f>
        <v>Twitter Web Client</v>
      </c>
      <c r="L384" s="13">
        <v>7531</v>
      </c>
      <c r="M384" s="13">
        <v>6346</v>
      </c>
      <c r="N384" s="13">
        <v>8</v>
      </c>
      <c r="O384" s="15"/>
      <c r="P384" s="6">
        <v>43014.941134259258</v>
      </c>
      <c r="Q384" s="16" t="s">
        <v>44</v>
      </c>
      <c r="R384" s="17" t="s">
        <v>1487</v>
      </c>
      <c r="S384" s="12"/>
      <c r="T384" s="12"/>
      <c r="U384" s="10" t="str">
        <f>HYPERLINK("https://pbs.twimg.com/profile_images/1055541042487984128/gM3eqjFo.jpg","View")</f>
        <v>View</v>
      </c>
    </row>
    <row r="385" spans="1:21" ht="30.6">
      <c r="A385" s="6">
        <v>43424.762685185182</v>
      </c>
      <c r="B385" s="7" t="str">
        <f>HYPERLINK("https://twitter.com/Neo_bar","@Neo_bar")</f>
        <v>@Neo_bar</v>
      </c>
      <c r="C385" s="8" t="s">
        <v>1488</v>
      </c>
      <c r="D385" s="9" t="s">
        <v>1489</v>
      </c>
      <c r="E385" s="10" t="str">
        <f>HYPERLINK("https://twitter.com/Neo_bar/status/1064930942047916032","1064930942047916032")</f>
        <v>1064930942047916032</v>
      </c>
      <c r="F385" s="12"/>
      <c r="G385" s="12"/>
      <c r="H385" s="12"/>
      <c r="I385" s="13">
        <v>0</v>
      </c>
      <c r="J385" s="13">
        <v>0</v>
      </c>
      <c r="K385" s="14" t="str">
        <f t="shared" si="136"/>
        <v>Twitter Web Client</v>
      </c>
      <c r="L385" s="13">
        <v>1554</v>
      </c>
      <c r="M385" s="13">
        <v>1685</v>
      </c>
      <c r="N385" s="13">
        <v>1</v>
      </c>
      <c r="O385" s="15"/>
      <c r="P385" s="6">
        <v>40294.881701388891</v>
      </c>
      <c r="Q385" s="16" t="s">
        <v>1491</v>
      </c>
      <c r="R385" s="17" t="s">
        <v>1493</v>
      </c>
      <c r="S385" s="12"/>
      <c r="T385" s="12"/>
      <c r="U385" s="10" t="str">
        <f>HYPERLINK("https://pbs.twimg.com/profile_images/939224767483207680/I7a7e8QH.jpg","View")</f>
        <v>View</v>
      </c>
    </row>
    <row r="386" spans="1:21" ht="40.799999999999997">
      <c r="A386" s="6">
        <v>43424.751388888893</v>
      </c>
      <c r="B386" s="7" t="str">
        <f>HYPERLINK("https://twitter.com/bitMomentum","@bitMomentum")</f>
        <v>@bitMomentum</v>
      </c>
      <c r="C386" s="8" t="s">
        <v>368</v>
      </c>
      <c r="D386" s="9" t="s">
        <v>1494</v>
      </c>
      <c r="E386" s="10" t="str">
        <f>HYPERLINK("https://twitter.com/bitMomentum/status/1064926846196830213","1064926846196830213")</f>
        <v>1064926846196830213</v>
      </c>
      <c r="F386" s="12"/>
      <c r="G386" s="12"/>
      <c r="H386" s="12"/>
      <c r="I386" s="13">
        <v>6</v>
      </c>
      <c r="J386" s="13">
        <v>7</v>
      </c>
      <c r="K386" s="14" t="str">
        <f>HYPERLINK("http://www.bitmomentum.com","bitMomentum Bot")</f>
        <v>bitMomentum Bot</v>
      </c>
      <c r="L386" s="13">
        <v>10132</v>
      </c>
      <c r="M386" s="13">
        <v>1060</v>
      </c>
      <c r="N386" s="13">
        <v>267</v>
      </c>
      <c r="O386" s="15"/>
      <c r="P386" s="6">
        <v>41608.667511574073</v>
      </c>
      <c r="Q386" s="12"/>
      <c r="R386" s="17" t="s">
        <v>371</v>
      </c>
      <c r="S386" s="11" t="s">
        <v>372</v>
      </c>
      <c r="T386" s="12"/>
      <c r="U386" s="10" t="str">
        <f>HYPERLINK("https://pbs.twimg.com/profile_images/378800000862185241/20ij2H3u.png","View")</f>
        <v>View</v>
      </c>
    </row>
    <row r="387" spans="1:21" ht="61.2">
      <c r="A387" s="6">
        <v>43424.751377314809</v>
      </c>
      <c r="B387" s="7" t="str">
        <f>HYPERLINK("https://twitter.com/Alternativa_VOX","@Alternativa_VOX")</f>
        <v>@Alternativa_VOX</v>
      </c>
      <c r="C387" s="8" t="s">
        <v>977</v>
      </c>
      <c r="D387" s="9" t="s">
        <v>1499</v>
      </c>
      <c r="E387" s="10" t="str">
        <f>HYPERLINK("https://twitter.com/Alternativa_VOX/status/1064926841415376896","1064926841415376896")</f>
        <v>1064926841415376896</v>
      </c>
      <c r="F387" s="12"/>
      <c r="G387" s="11" t="s">
        <v>1500</v>
      </c>
      <c r="H387" s="12"/>
      <c r="I387" s="13">
        <v>83</v>
      </c>
      <c r="J387" s="13">
        <v>118</v>
      </c>
      <c r="K387" s="14" t="str">
        <f>HYPERLINK("http://twitter.com/download/iphone","Twitter for iPhone")</f>
        <v>Twitter for iPhone</v>
      </c>
      <c r="L387" s="13">
        <v>14295</v>
      </c>
      <c r="M387" s="13">
        <v>2342</v>
      </c>
      <c r="N387" s="13">
        <v>63</v>
      </c>
      <c r="O387" s="15"/>
      <c r="P387" s="6">
        <v>42414.677303240736</v>
      </c>
      <c r="Q387" s="12"/>
      <c r="R387" s="17" t="s">
        <v>981</v>
      </c>
      <c r="S387" s="12"/>
      <c r="T387" s="12"/>
      <c r="U387" s="10" t="str">
        <f>HYPERLINK("https://pbs.twimg.com/profile_images/1054080233844936705/IYgqsUMs.jpg","View")</f>
        <v>View</v>
      </c>
    </row>
    <row r="388" spans="1:21" ht="51">
      <c r="A388" s="6">
        <v>43424.750694444447</v>
      </c>
      <c r="B388" s="7" t="str">
        <f>HYPERLINK("https://twitter.com/bitMomentum","@bitMomentum")</f>
        <v>@bitMomentum</v>
      </c>
      <c r="C388" s="8" t="s">
        <v>368</v>
      </c>
      <c r="D388" s="9" t="s">
        <v>1501</v>
      </c>
      <c r="E388" s="10" t="str">
        <f>HYPERLINK("https://twitter.com/bitMomentum/status/1064926594609876992","1064926594609876992")</f>
        <v>1064926594609876992</v>
      </c>
      <c r="F388" s="12"/>
      <c r="G388" s="12"/>
      <c r="H388" s="12"/>
      <c r="I388" s="13">
        <v>0</v>
      </c>
      <c r="J388" s="13">
        <v>0</v>
      </c>
      <c r="K388" s="14" t="str">
        <f>HYPERLINK("http://www.bitmomentum.com","bitMomentum Bot")</f>
        <v>bitMomentum Bot</v>
      </c>
      <c r="L388" s="13">
        <v>10132</v>
      </c>
      <c r="M388" s="13">
        <v>1060</v>
      </c>
      <c r="N388" s="13">
        <v>267</v>
      </c>
      <c r="O388" s="15"/>
      <c r="P388" s="6">
        <v>41608.667511574073</v>
      </c>
      <c r="Q388" s="12"/>
      <c r="R388" s="17" t="s">
        <v>371</v>
      </c>
      <c r="S388" s="11" t="s">
        <v>372</v>
      </c>
      <c r="T388" s="12"/>
      <c r="U388" s="10" t="str">
        <f>HYPERLINK("https://pbs.twimg.com/profile_images/378800000862185241/20ij2H3u.png","View")</f>
        <v>View</v>
      </c>
    </row>
    <row r="389" spans="1:21" ht="51">
      <c r="A389" s="6">
        <v>43424.74491898148</v>
      </c>
      <c r="B389" s="7" t="str">
        <f>HYPERLINK("https://twitter.com/Lluis_Ducet","@Lluis_Ducet")</f>
        <v>@Lluis_Ducet</v>
      </c>
      <c r="C389" s="8" t="s">
        <v>1502</v>
      </c>
      <c r="D389" s="9" t="s">
        <v>1503</v>
      </c>
      <c r="E389" s="10" t="str">
        <f>HYPERLINK("https://twitter.com/Lluis_Ducet/status/1064924503397023744","1064924503397023744")</f>
        <v>1064924503397023744</v>
      </c>
      <c r="F389" s="16" t="s">
        <v>1504</v>
      </c>
      <c r="G389" s="12"/>
      <c r="H389" s="12"/>
      <c r="I389" s="13">
        <v>0</v>
      </c>
      <c r="J389" s="13">
        <v>0</v>
      </c>
      <c r="K389" s="14" t="str">
        <f>HYPERLINK("http://twitter.com","Twitter Web Client")</f>
        <v>Twitter Web Client</v>
      </c>
      <c r="L389" s="13">
        <v>1107</v>
      </c>
      <c r="M389" s="13">
        <v>1239</v>
      </c>
      <c r="N389" s="13">
        <v>34</v>
      </c>
      <c r="O389" s="15"/>
      <c r="P389" s="6">
        <v>41247.701643518521</v>
      </c>
      <c r="Q389" s="16" t="s">
        <v>1505</v>
      </c>
      <c r="R389" s="17" t="s">
        <v>1506</v>
      </c>
      <c r="S389" s="12"/>
      <c r="T389" s="12"/>
      <c r="U389" s="10" t="str">
        <f>HYPERLINK("https://pbs.twimg.com/profile_images/927277121562599424/Va2dSxQw.jpg","View")</f>
        <v>View</v>
      </c>
    </row>
    <row r="390" spans="1:21" ht="51">
      <c r="A390" s="6">
        <v>43424.744027777779</v>
      </c>
      <c r="B390" s="7" t="str">
        <f>HYPERLINK("https://twitter.com/CarlosJ58563305","@CarlosJ58563305")</f>
        <v>@CarlosJ58563305</v>
      </c>
      <c r="C390" s="8" t="s">
        <v>1507</v>
      </c>
      <c r="D390" s="9" t="s">
        <v>1508</v>
      </c>
      <c r="E390" s="10" t="str">
        <f>HYPERLINK("https://twitter.com/CarlosJ58563305/status/1064924178577526784","1064924178577526784")</f>
        <v>1064924178577526784</v>
      </c>
      <c r="F390" s="11" t="s">
        <v>1509</v>
      </c>
      <c r="G390" s="12"/>
      <c r="H390" s="12"/>
      <c r="I390" s="13">
        <v>72</v>
      </c>
      <c r="J390" s="13">
        <v>79</v>
      </c>
      <c r="K390" s="14" t="str">
        <f>HYPERLINK("http://twitter.com/download/android","Twitter for Android")</f>
        <v>Twitter for Android</v>
      </c>
      <c r="L390" s="13">
        <v>1625</v>
      </c>
      <c r="M390" s="13">
        <v>1729</v>
      </c>
      <c r="N390" s="13">
        <v>9</v>
      </c>
      <c r="O390" s="15"/>
      <c r="P390" s="6">
        <v>43014.52344907407</v>
      </c>
      <c r="Q390" s="16" t="s">
        <v>1510</v>
      </c>
      <c r="R390" s="17" t="s">
        <v>1511</v>
      </c>
      <c r="S390" s="12"/>
      <c r="T390" s="12"/>
      <c r="U390" s="10" t="str">
        <f>HYPERLINK("https://pbs.twimg.com/profile_images/1006094968476307456/KUz5auu2.jpg","View")</f>
        <v>View</v>
      </c>
    </row>
    <row r="391" spans="1:21" ht="51">
      <c r="A391" s="6">
        <v>43424.709722222222</v>
      </c>
      <c r="B391" s="7" t="str">
        <f>HYPERLINK("https://twitter.com/bitMomentum","@bitMomentum")</f>
        <v>@bitMomentum</v>
      </c>
      <c r="C391" s="8" t="s">
        <v>368</v>
      </c>
      <c r="D391" s="9" t="s">
        <v>1513</v>
      </c>
      <c r="E391" s="10" t="str">
        <f>HYPERLINK("https://twitter.com/bitMomentum/status/1064911746601750529","1064911746601750529")</f>
        <v>1064911746601750529</v>
      </c>
      <c r="F391" s="12"/>
      <c r="G391" s="12"/>
      <c r="H391" s="12"/>
      <c r="I391" s="13">
        <v>2</v>
      </c>
      <c r="J391" s="13">
        <v>2</v>
      </c>
      <c r="K391" s="14" t="str">
        <f>HYPERLINK("http://www.bitmomentum.com","bitMomentum Bot")</f>
        <v>bitMomentum Bot</v>
      </c>
      <c r="L391" s="13">
        <v>10132</v>
      </c>
      <c r="M391" s="13">
        <v>1060</v>
      </c>
      <c r="N391" s="13">
        <v>267</v>
      </c>
      <c r="O391" s="15"/>
      <c r="P391" s="6">
        <v>41608.667511574073</v>
      </c>
      <c r="Q391" s="12"/>
      <c r="R391" s="17" t="s">
        <v>371</v>
      </c>
      <c r="S391" s="11" t="s">
        <v>372</v>
      </c>
      <c r="T391" s="12"/>
      <c r="U391" s="10" t="str">
        <f>HYPERLINK("https://pbs.twimg.com/profile_images/378800000862185241/20ij2H3u.png","View")</f>
        <v>View</v>
      </c>
    </row>
    <row r="392" spans="1:21" ht="40.799999999999997">
      <c r="A392" s="6">
        <v>43424.70957175926</v>
      </c>
      <c r="B392" s="7" t="str">
        <f>HYPERLINK("https://twitter.com/lunadebenidorm","@lunadebenidorm")</f>
        <v>@lunadebenidorm</v>
      </c>
      <c r="C392" s="8" t="s">
        <v>106</v>
      </c>
      <c r="D392" s="9" t="s">
        <v>1514</v>
      </c>
      <c r="E392" s="10" t="str">
        <f>HYPERLINK("https://twitter.com/lunadebenidorm/status/1064911693971693570","1064911693971693570")</f>
        <v>1064911693971693570</v>
      </c>
      <c r="F392" s="11" t="s">
        <v>1515</v>
      </c>
      <c r="G392" s="12"/>
      <c r="H392" s="12"/>
      <c r="I392" s="13">
        <v>0</v>
      </c>
      <c r="J392" s="13">
        <v>0</v>
      </c>
      <c r="K392" s="14" t="str">
        <f>HYPERLINK("http://twitter.com/download/android","Twitter for Android")</f>
        <v>Twitter for Android</v>
      </c>
      <c r="L392" s="13">
        <v>3991</v>
      </c>
      <c r="M392" s="13">
        <v>3978</v>
      </c>
      <c r="N392" s="13">
        <v>79</v>
      </c>
      <c r="O392" s="15"/>
      <c r="P392" s="6">
        <v>41461.81186342593</v>
      </c>
      <c r="Q392" s="12"/>
      <c r="R392" s="17" t="s">
        <v>108</v>
      </c>
      <c r="S392" s="12"/>
      <c r="T392" s="12"/>
      <c r="U392" s="10" t="str">
        <f>HYPERLINK("https://pbs.twimg.com/profile_images/1061229593758257153/rePCQt08.jpg","View")</f>
        <v>View</v>
      </c>
    </row>
    <row r="393" spans="1:21" ht="51">
      <c r="A393" s="6">
        <v>43424.709027777775</v>
      </c>
      <c r="B393" s="7" t="str">
        <f>HYPERLINK("https://twitter.com/bitMomentum","@bitMomentum")</f>
        <v>@bitMomentum</v>
      </c>
      <c r="C393" s="8" t="s">
        <v>368</v>
      </c>
      <c r="D393" s="9" t="s">
        <v>1518</v>
      </c>
      <c r="E393" s="10" t="str">
        <f>HYPERLINK("https://twitter.com/bitMomentum/status/1064911495081979906","1064911495081979906")</f>
        <v>1064911495081979906</v>
      </c>
      <c r="F393" s="12"/>
      <c r="G393" s="12"/>
      <c r="H393" s="12"/>
      <c r="I393" s="13">
        <v>0</v>
      </c>
      <c r="J393" s="13">
        <v>0</v>
      </c>
      <c r="K393" s="14" t="str">
        <f>HYPERLINK("http://www.bitmomentum.com","bitMomentum Bot")</f>
        <v>bitMomentum Bot</v>
      </c>
      <c r="L393" s="13">
        <v>10132</v>
      </c>
      <c r="M393" s="13">
        <v>1060</v>
      </c>
      <c r="N393" s="13">
        <v>267</v>
      </c>
      <c r="O393" s="15"/>
      <c r="P393" s="6">
        <v>41608.667511574073</v>
      </c>
      <c r="Q393" s="12"/>
      <c r="R393" s="17" t="s">
        <v>371</v>
      </c>
      <c r="S393" s="11" t="s">
        <v>372</v>
      </c>
      <c r="T393" s="12"/>
      <c r="U393" s="10" t="str">
        <f>HYPERLINK("https://pbs.twimg.com/profile_images/378800000862185241/20ij2H3u.png","View")</f>
        <v>View</v>
      </c>
    </row>
    <row r="394" spans="1:21" ht="51">
      <c r="A394" s="6">
        <v>43424.701412037037</v>
      </c>
      <c r="B394" s="7" t="str">
        <f>HYPERLINK("https://twitter.com/ivanfo97","@ivanfo97")</f>
        <v>@ivanfo97</v>
      </c>
      <c r="C394" s="8" t="s">
        <v>1521</v>
      </c>
      <c r="D394" s="9" t="s">
        <v>1522</v>
      </c>
      <c r="E394" s="10" t="str">
        <f>HYPERLINK("https://twitter.com/ivanfo97/status/1064908738354733056","1064908738354733056")</f>
        <v>1064908738354733056</v>
      </c>
      <c r="F394" s="11" t="s">
        <v>1523</v>
      </c>
      <c r="G394" s="11" t="s">
        <v>1524</v>
      </c>
      <c r="H394" s="12"/>
      <c r="I394" s="13">
        <v>0</v>
      </c>
      <c r="J394" s="13">
        <v>0</v>
      </c>
      <c r="K394" s="14" t="str">
        <f>HYPERLINK("http://twitter.com/download/android","Twitter for Android")</f>
        <v>Twitter for Android</v>
      </c>
      <c r="L394" s="13">
        <v>245</v>
      </c>
      <c r="M394" s="13">
        <v>234</v>
      </c>
      <c r="N394" s="13">
        <v>9</v>
      </c>
      <c r="O394" s="15"/>
      <c r="P394" s="6">
        <v>40901.589849537035</v>
      </c>
      <c r="Q394" s="16" t="s">
        <v>1526</v>
      </c>
      <c r="R394" s="17" t="s">
        <v>1527</v>
      </c>
      <c r="S394" s="11" t="s">
        <v>1528</v>
      </c>
      <c r="T394" s="12"/>
      <c r="U394" s="10" t="str">
        <f>HYPERLINK("https://pbs.twimg.com/profile_images/832229686407225345/EQHYymud.jpg","View")</f>
        <v>View</v>
      </c>
    </row>
    <row r="395" spans="1:21" ht="51">
      <c r="A395" s="6">
        <v>43424.697557870371</v>
      </c>
      <c r="B395" s="7" t="str">
        <f>HYPERLINK("https://twitter.com/seruntusitala","@seruntusitala")</f>
        <v>@seruntusitala</v>
      </c>
      <c r="C395" s="8" t="s">
        <v>1529</v>
      </c>
      <c r="D395" s="9" t="s">
        <v>1530</v>
      </c>
      <c r="E395" s="10" t="str">
        <f>HYPERLINK("https://twitter.com/seruntusitala/status/1064907338933567488","1064907338933567488")</f>
        <v>1064907338933567488</v>
      </c>
      <c r="F395" s="11" t="s">
        <v>1531</v>
      </c>
      <c r="G395" s="12"/>
      <c r="H395" s="12"/>
      <c r="I395" s="13">
        <v>0</v>
      </c>
      <c r="J395" s="13">
        <v>1</v>
      </c>
      <c r="K395" s="14" t="str">
        <f>HYPERLINK("http://twitter.com","Twitter Web Client")</f>
        <v>Twitter Web Client</v>
      </c>
      <c r="L395" s="13">
        <v>990</v>
      </c>
      <c r="M395" s="13">
        <v>994</v>
      </c>
      <c r="N395" s="13">
        <v>31</v>
      </c>
      <c r="O395" s="15"/>
      <c r="P395" s="6">
        <v>42224.764120370368</v>
      </c>
      <c r="Q395" s="16" t="s">
        <v>66</v>
      </c>
      <c r="R395" s="17" t="s">
        <v>1533</v>
      </c>
      <c r="S395" s="11" t="s">
        <v>1534</v>
      </c>
      <c r="T395" s="12"/>
      <c r="U395" s="10" t="str">
        <f>HYPERLINK("https://pbs.twimg.com/profile_images/630662378917621761/SZm3op4R.jpg","View")</f>
        <v>View</v>
      </c>
    </row>
    <row r="396" spans="1:21" ht="30.6">
      <c r="A396" s="6">
        <v>43424.692418981482</v>
      </c>
      <c r="B396" s="7" t="str">
        <f>HYPERLINK("https://twitter.com/Rafael15079963","@Rafael15079963")</f>
        <v>@Rafael15079963</v>
      </c>
      <c r="C396" s="8" t="s">
        <v>1074</v>
      </c>
      <c r="D396" s="9" t="s">
        <v>1536</v>
      </c>
      <c r="E396" s="10" t="str">
        <f>HYPERLINK("https://twitter.com/Rafael15079963/status/1064905476121526278","1064905476121526278")</f>
        <v>1064905476121526278</v>
      </c>
      <c r="F396" s="12"/>
      <c r="G396" s="12"/>
      <c r="H396" s="12"/>
      <c r="I396" s="13">
        <v>0</v>
      </c>
      <c r="J396" s="13">
        <v>2</v>
      </c>
      <c r="K396" s="14" t="str">
        <f t="shared" ref="K396:K397" si="137">HYPERLINK("http://twitter.com/download/android","Twitter for Android")</f>
        <v>Twitter for Android</v>
      </c>
      <c r="L396" s="13">
        <v>7</v>
      </c>
      <c r="M396" s="13">
        <v>26</v>
      </c>
      <c r="N396" s="13">
        <v>0</v>
      </c>
      <c r="O396" s="15"/>
      <c r="P396" s="6">
        <v>43102.704571759255</v>
      </c>
      <c r="Q396" s="12"/>
      <c r="R396" s="17" t="s">
        <v>1538</v>
      </c>
      <c r="S396" s="12"/>
      <c r="T396" s="12"/>
      <c r="U396" s="10" t="str">
        <f>HYPERLINK("https://pbs.twimg.com/profile_images/1062465936635162624/87or5qco.jpg","View")</f>
        <v>View</v>
      </c>
    </row>
    <row r="397" spans="1:21" ht="51">
      <c r="A397" s="6">
        <v>43424.690659722226</v>
      </c>
      <c r="B397" s="7" t="str">
        <f>HYPERLINK("https://twitter.com/Juanerpf","@Juanerpf")</f>
        <v>@Juanerpf</v>
      </c>
      <c r="C397" s="8" t="s">
        <v>544</v>
      </c>
      <c r="D397" s="9" t="s">
        <v>1539</v>
      </c>
      <c r="E397" s="10" t="str">
        <f>HYPERLINK("https://twitter.com/Juanerpf/status/1064904841099661312","1064904841099661312")</f>
        <v>1064904841099661312</v>
      </c>
      <c r="F397" s="12"/>
      <c r="G397" s="11" t="s">
        <v>1540</v>
      </c>
      <c r="H397" s="12"/>
      <c r="I397" s="13">
        <v>12</v>
      </c>
      <c r="J397" s="13">
        <v>20</v>
      </c>
      <c r="K397" s="14" t="str">
        <f t="shared" si="137"/>
        <v>Twitter for Android</v>
      </c>
      <c r="L397" s="13">
        <v>6690</v>
      </c>
      <c r="M397" s="13">
        <v>873</v>
      </c>
      <c r="N397" s="13">
        <v>308</v>
      </c>
      <c r="O397" s="15"/>
      <c r="P397" s="6">
        <v>40980.873715277776</v>
      </c>
      <c r="Q397" s="16" t="s">
        <v>547</v>
      </c>
      <c r="R397" s="17" t="s">
        <v>548</v>
      </c>
      <c r="S397" s="11" t="s">
        <v>549</v>
      </c>
      <c r="T397" s="12"/>
      <c r="U397" s="10" t="str">
        <f>HYPERLINK("https://pbs.twimg.com/profile_images/537274998272954368/lLSuaKwi.jpeg","View")</f>
        <v>View</v>
      </c>
    </row>
    <row r="398" spans="1:21" ht="51">
      <c r="A398" s="6">
        <v>43424.66805555555</v>
      </c>
      <c r="B398" s="7" t="str">
        <f>HYPERLINK("https://twitter.com/bitMomentum","@bitMomentum")</f>
        <v>@bitMomentum</v>
      </c>
      <c r="C398" s="8" t="s">
        <v>368</v>
      </c>
      <c r="D398" s="9" t="s">
        <v>1541</v>
      </c>
      <c r="E398" s="10" t="str">
        <f>HYPERLINK("https://twitter.com/bitMomentum/status/1064896646956371968","1064896646956371968")</f>
        <v>1064896646956371968</v>
      </c>
      <c r="F398" s="12"/>
      <c r="G398" s="12"/>
      <c r="H398" s="12"/>
      <c r="I398" s="13">
        <v>0</v>
      </c>
      <c r="J398" s="13">
        <v>0</v>
      </c>
      <c r="K398" s="14" t="str">
        <f>HYPERLINK("http://www.bitmomentum.com","bitMomentum Bot")</f>
        <v>bitMomentum Bot</v>
      </c>
      <c r="L398" s="13">
        <v>10132</v>
      </c>
      <c r="M398" s="13">
        <v>1060</v>
      </c>
      <c r="N398" s="13">
        <v>267</v>
      </c>
      <c r="O398" s="15"/>
      <c r="P398" s="6">
        <v>41608.667511574073</v>
      </c>
      <c r="Q398" s="12"/>
      <c r="R398" s="17" t="s">
        <v>371</v>
      </c>
      <c r="S398" s="11" t="s">
        <v>372</v>
      </c>
      <c r="T398" s="12"/>
      <c r="U398" s="10" t="str">
        <f>HYPERLINK("https://pbs.twimg.com/profile_images/378800000862185241/20ij2H3u.png","View")</f>
        <v>View</v>
      </c>
    </row>
    <row r="399" spans="1:21" ht="40.799999999999997">
      <c r="A399" s="6">
        <v>43424.667974537035</v>
      </c>
      <c r="B399" s="7" t="str">
        <f>HYPERLINK("https://twitter.com/MaraGarret","@MaraGarret")</f>
        <v>@MaraGarret</v>
      </c>
      <c r="C399" s="8" t="s">
        <v>1765</v>
      </c>
      <c r="D399" s="9" t="s">
        <v>1766</v>
      </c>
      <c r="E399" s="10" t="str">
        <f>HYPERLINK("https://twitter.com/MaraGarret/status/1064896619848568834","1064896619848568834")</f>
        <v>1064896619848568834</v>
      </c>
      <c r="F399" s="12"/>
      <c r="G399" s="12"/>
      <c r="H399" s="12"/>
      <c r="I399" s="13">
        <v>0</v>
      </c>
      <c r="J399" s="13">
        <v>0</v>
      </c>
      <c r="K399" s="14" t="str">
        <f>HYPERLINK("http://twitter.com","Twitter Web Client")</f>
        <v>Twitter Web Client</v>
      </c>
      <c r="L399" s="13">
        <v>225</v>
      </c>
      <c r="M399" s="13">
        <v>362</v>
      </c>
      <c r="N399" s="13">
        <v>2</v>
      </c>
      <c r="O399" s="15"/>
      <c r="P399" s="6">
        <v>42480.042002314818</v>
      </c>
      <c r="Q399" s="16" t="s">
        <v>104</v>
      </c>
      <c r="R399" s="17" t="s">
        <v>1767</v>
      </c>
      <c r="S399" s="12"/>
      <c r="T399" s="12"/>
      <c r="U399" s="10" t="str">
        <f>HYPERLINK("https://pbs.twimg.com/profile_images/736527736005595136/_tvti9BI.jpg","View")</f>
        <v>View</v>
      </c>
    </row>
    <row r="400" spans="1:21" ht="51">
      <c r="A400" s="6">
        <v>43424.667361111111</v>
      </c>
      <c r="B400" s="7" t="str">
        <f>HYPERLINK("https://twitter.com/bitMomentum","@bitMomentum")</f>
        <v>@bitMomentum</v>
      </c>
      <c r="C400" s="8" t="s">
        <v>368</v>
      </c>
      <c r="D400" s="9" t="s">
        <v>1542</v>
      </c>
      <c r="E400" s="10" t="str">
        <f>HYPERLINK("https://twitter.com/bitMomentum/status/1064896395491065856","1064896395491065856")</f>
        <v>1064896395491065856</v>
      </c>
      <c r="F400" s="12"/>
      <c r="G400" s="12"/>
      <c r="H400" s="12"/>
      <c r="I400" s="13">
        <v>0</v>
      </c>
      <c r="J400" s="13">
        <v>0</v>
      </c>
      <c r="K400" s="14" t="str">
        <f>HYPERLINK("http://www.bitmomentum.com","bitMomentum Bot")</f>
        <v>bitMomentum Bot</v>
      </c>
      <c r="L400" s="13">
        <v>10132</v>
      </c>
      <c r="M400" s="13">
        <v>1060</v>
      </c>
      <c r="N400" s="13">
        <v>267</v>
      </c>
      <c r="O400" s="15"/>
      <c r="P400" s="6">
        <v>41608.667511574073</v>
      </c>
      <c r="Q400" s="12"/>
      <c r="R400" s="17" t="s">
        <v>371</v>
      </c>
      <c r="S400" s="11" t="s">
        <v>372</v>
      </c>
      <c r="T400" s="12"/>
      <c r="U400" s="10" t="str">
        <f>HYPERLINK("https://pbs.twimg.com/profile_images/378800000862185241/20ij2H3u.png","View")</f>
        <v>View</v>
      </c>
    </row>
    <row r="401" spans="1:21" ht="40.799999999999997">
      <c r="A401" s="6">
        <v>43424.661793981482</v>
      </c>
      <c r="B401" s="7" t="str">
        <f>HYPERLINK("https://twitter.com/surf_aruma","@surf_aruma")</f>
        <v>@surf_aruma</v>
      </c>
      <c r="C401" s="8" t="s">
        <v>1543</v>
      </c>
      <c r="D401" s="9" t="s">
        <v>1544</v>
      </c>
      <c r="E401" s="10" t="str">
        <f>HYPERLINK("https://twitter.com/surf_aruma/status/1064894378802667524","1064894378802667524")</f>
        <v>1064894378802667524</v>
      </c>
      <c r="F401" s="12"/>
      <c r="G401" s="12"/>
      <c r="H401" s="12"/>
      <c r="I401" s="13">
        <v>2</v>
      </c>
      <c r="J401" s="13">
        <v>0</v>
      </c>
      <c r="K401" s="14" t="str">
        <f>HYPERLINK("http://twitter.com/download/iphone","Twitter for iPhone")</f>
        <v>Twitter for iPhone</v>
      </c>
      <c r="L401" s="13">
        <v>158</v>
      </c>
      <c r="M401" s="13">
        <v>291</v>
      </c>
      <c r="N401" s="13">
        <v>1</v>
      </c>
      <c r="O401" s="15"/>
      <c r="P401" s="6">
        <v>42367.940416666665</v>
      </c>
      <c r="Q401" s="12"/>
      <c r="R401" s="17" t="s">
        <v>1545</v>
      </c>
      <c r="S401" s="12"/>
      <c r="T401" s="12"/>
      <c r="U401" s="10" t="str">
        <f>HYPERLINK("https://pbs.twimg.com/profile_images/1065628230915362817/d0JHdj2t.jpg","View")</f>
        <v>View</v>
      </c>
    </row>
    <row r="402" spans="1:21" ht="71.400000000000006">
      <c r="A402" s="6">
        <v>43424.660856481481</v>
      </c>
      <c r="B402" s="7" t="str">
        <f t="shared" ref="B402:B404" si="138">HYPERLINK("https://twitter.com/NeroPaddilla","@NeroPaddilla")</f>
        <v>@NeroPaddilla</v>
      </c>
      <c r="C402" s="8" t="s">
        <v>1546</v>
      </c>
      <c r="D402" s="9" t="s">
        <v>1547</v>
      </c>
      <c r="E402" s="10" t="str">
        <f>HYPERLINK("https://twitter.com/NeroPaddilla/status/1064894041656123392","1064894041656123392")</f>
        <v>1064894041656123392</v>
      </c>
      <c r="F402" s="16" t="s">
        <v>1548</v>
      </c>
      <c r="G402" s="12"/>
      <c r="H402" s="12"/>
      <c r="I402" s="13">
        <v>0</v>
      </c>
      <c r="J402" s="13">
        <v>0</v>
      </c>
      <c r="K402" s="14" t="str">
        <f t="shared" ref="K402:K404" si="139">HYPERLINK("http://twitter.com","Twitter Web Client")</f>
        <v>Twitter Web Client</v>
      </c>
      <c r="L402" s="13">
        <v>530</v>
      </c>
      <c r="M402" s="13">
        <v>1145</v>
      </c>
      <c r="N402" s="13">
        <v>0</v>
      </c>
      <c r="O402" s="15"/>
      <c r="P402" s="6">
        <v>43177.728159722217</v>
      </c>
      <c r="Q402" s="12"/>
      <c r="R402" s="21"/>
      <c r="S402" s="12"/>
      <c r="T402" s="12"/>
      <c r="U402" s="10" t="str">
        <f t="shared" ref="U402:U404" si="140">HYPERLINK("https://pbs.twimg.com/profile_images/975414123369500672/1Q9skH_w.jpg","View")</f>
        <v>View</v>
      </c>
    </row>
    <row r="403" spans="1:21" ht="61.2">
      <c r="A403" s="6">
        <v>43424.659155092595</v>
      </c>
      <c r="B403" s="7" t="str">
        <f t="shared" si="138"/>
        <v>@NeroPaddilla</v>
      </c>
      <c r="C403" s="8" t="s">
        <v>1546</v>
      </c>
      <c r="D403" s="9" t="s">
        <v>1549</v>
      </c>
      <c r="E403" s="10" t="str">
        <f>HYPERLINK("https://twitter.com/NeroPaddilla/status/1064893424233525248","1064893424233525248")</f>
        <v>1064893424233525248</v>
      </c>
      <c r="F403" s="11" t="s">
        <v>1550</v>
      </c>
      <c r="G403" s="11" t="s">
        <v>1551</v>
      </c>
      <c r="H403" s="12"/>
      <c r="I403" s="13">
        <v>0</v>
      </c>
      <c r="J403" s="13">
        <v>0</v>
      </c>
      <c r="K403" s="14" t="str">
        <f t="shared" si="139"/>
        <v>Twitter Web Client</v>
      </c>
      <c r="L403" s="13">
        <v>530</v>
      </c>
      <c r="M403" s="13">
        <v>1145</v>
      </c>
      <c r="N403" s="13">
        <v>0</v>
      </c>
      <c r="O403" s="15"/>
      <c r="P403" s="6">
        <v>43177.728159722217</v>
      </c>
      <c r="Q403" s="12"/>
      <c r="R403" s="21"/>
      <c r="S403" s="12"/>
      <c r="T403" s="12"/>
      <c r="U403" s="10" t="str">
        <f t="shared" si="140"/>
        <v>View</v>
      </c>
    </row>
    <row r="404" spans="1:21" ht="81.599999999999994">
      <c r="A404" s="6">
        <v>43424.65688657407</v>
      </c>
      <c r="B404" s="7" t="str">
        <f t="shared" si="138"/>
        <v>@NeroPaddilla</v>
      </c>
      <c r="C404" s="8" t="s">
        <v>1546</v>
      </c>
      <c r="D404" s="9" t="s">
        <v>1554</v>
      </c>
      <c r="E404" s="10" t="str">
        <f>HYPERLINK("https://twitter.com/NeroPaddilla/status/1064892599562051584","1064892599562051584")</f>
        <v>1064892599562051584</v>
      </c>
      <c r="F404" s="16" t="s">
        <v>1555</v>
      </c>
      <c r="G404" s="12"/>
      <c r="H404" s="12"/>
      <c r="I404" s="13">
        <v>0</v>
      </c>
      <c r="J404" s="13">
        <v>0</v>
      </c>
      <c r="K404" s="14" t="str">
        <f t="shared" si="139"/>
        <v>Twitter Web Client</v>
      </c>
      <c r="L404" s="13">
        <v>530</v>
      </c>
      <c r="M404" s="13">
        <v>1145</v>
      </c>
      <c r="N404" s="13">
        <v>0</v>
      </c>
      <c r="O404" s="15"/>
      <c r="P404" s="6">
        <v>43177.728159722217</v>
      </c>
      <c r="Q404" s="12"/>
      <c r="R404" s="21"/>
      <c r="S404" s="12"/>
      <c r="T404" s="12"/>
      <c r="U404" s="10" t="str">
        <f t="shared" si="140"/>
        <v>View</v>
      </c>
    </row>
    <row r="405" spans="1:21" ht="20.399999999999999">
      <c r="A405" s="6">
        <v>43424.650960648149</v>
      </c>
      <c r="B405" s="7" t="str">
        <f>HYPERLINK("https://twitter.com/negativo_stats","@negativo_stats")</f>
        <v>@negativo_stats</v>
      </c>
      <c r="C405" s="8" t="s">
        <v>41</v>
      </c>
      <c r="D405" s="9" t="s">
        <v>42</v>
      </c>
      <c r="E405" s="10" t="str">
        <f>HYPERLINK("https://twitter.com/negativo_stats/status/1064890453852602370","1064890453852602370")</f>
        <v>1064890453852602370</v>
      </c>
      <c r="F405" s="12"/>
      <c r="G405" s="11" t="s">
        <v>1556</v>
      </c>
      <c r="H405" s="12"/>
      <c r="I405" s="13">
        <v>0</v>
      </c>
      <c r="J405" s="13">
        <v>0</v>
      </c>
      <c r="K405" s="14" t="str">
        <f>HYPERLINK("http://kosmonautica.es","Política Negativa")</f>
        <v>Política Negativa</v>
      </c>
      <c r="L405" s="13">
        <v>256</v>
      </c>
      <c r="M405" s="13">
        <v>694</v>
      </c>
      <c r="N405" s="13">
        <v>2</v>
      </c>
      <c r="O405" s="15"/>
      <c r="P405" s="6">
        <v>42171.770601851851</v>
      </c>
      <c r="Q405" s="16" t="s">
        <v>44</v>
      </c>
      <c r="R405" s="17" t="s">
        <v>45</v>
      </c>
      <c r="S405" s="12"/>
      <c r="T405" s="12"/>
      <c r="U405" s="10" t="str">
        <f>HYPERLINK("https://pbs.twimg.com/profile_images/628553625984438272/e-VHyhP1.png","View")</f>
        <v>View</v>
      </c>
    </row>
    <row r="406" spans="1:21" ht="51">
      <c r="A406" s="6">
        <v>43424.650925925926</v>
      </c>
      <c r="B406" s="7" t="str">
        <f>HYPERLINK("https://twitter.com/passion_eterna","@passion_eterna")</f>
        <v>@passion_eterna</v>
      </c>
      <c r="C406" s="8" t="s">
        <v>1557</v>
      </c>
      <c r="D406" s="9" t="s">
        <v>1558</v>
      </c>
      <c r="E406" s="10" t="str">
        <f>HYPERLINK("https://twitter.com/passion_eterna/status/1064890439818448898","1064890439818448898")</f>
        <v>1064890439818448898</v>
      </c>
      <c r="F406" s="11" t="s">
        <v>1559</v>
      </c>
      <c r="G406" s="12"/>
      <c r="H406" s="12"/>
      <c r="I406" s="13">
        <v>0</v>
      </c>
      <c r="J406" s="13">
        <v>0</v>
      </c>
      <c r="K406" s="14" t="str">
        <f t="shared" ref="K406:K408" si="141">HYPERLINK("http://twitter.com/download/iphone","Twitter for iPhone")</f>
        <v>Twitter for iPhone</v>
      </c>
      <c r="L406" s="13">
        <v>455</v>
      </c>
      <c r="M406" s="13">
        <v>827</v>
      </c>
      <c r="N406" s="13">
        <v>2</v>
      </c>
      <c r="O406" s="15"/>
      <c r="P406" s="6">
        <v>41466.453032407408</v>
      </c>
      <c r="Q406" s="16" t="s">
        <v>1560</v>
      </c>
      <c r="R406" s="17" t="s">
        <v>1561</v>
      </c>
      <c r="S406" s="12"/>
      <c r="T406" s="12"/>
      <c r="U406" s="10" t="str">
        <f>HYPERLINK("https://pbs.twimg.com/profile_images/850287638967980032/1aJzaYSw.jpg","View")</f>
        <v>View</v>
      </c>
    </row>
    <row r="407" spans="1:21" ht="30.6">
      <c r="A407" s="6">
        <v>43424.646261574075</v>
      </c>
      <c r="B407" s="7" t="str">
        <f>HYPERLINK("https://twitter.com/manuferdi2","@manuferdi2")</f>
        <v>@manuferdi2</v>
      </c>
      <c r="C407" s="8" t="s">
        <v>1562</v>
      </c>
      <c r="D407" s="9" t="s">
        <v>1563</v>
      </c>
      <c r="E407" s="10" t="str">
        <f>HYPERLINK("https://twitter.com/manuferdi2/status/1064888751724396548","1064888751724396548")</f>
        <v>1064888751724396548</v>
      </c>
      <c r="F407" s="12"/>
      <c r="G407" s="12"/>
      <c r="H407" s="12"/>
      <c r="I407" s="13">
        <v>0</v>
      </c>
      <c r="J407" s="13">
        <v>1</v>
      </c>
      <c r="K407" s="14" t="str">
        <f t="shared" si="141"/>
        <v>Twitter for iPhone</v>
      </c>
      <c r="L407" s="13">
        <v>188</v>
      </c>
      <c r="M407" s="13">
        <v>1043</v>
      </c>
      <c r="N407" s="13">
        <v>0</v>
      </c>
      <c r="O407" s="15"/>
      <c r="P407" s="6">
        <v>40979.649039351854</v>
      </c>
      <c r="Q407" s="16" t="s">
        <v>1564</v>
      </c>
      <c r="R407" s="17" t="s">
        <v>1565</v>
      </c>
      <c r="S407" s="12"/>
      <c r="T407" s="12"/>
      <c r="U407" s="10" t="str">
        <f>HYPERLINK("https://pbs.twimg.com/profile_images/955464749675839493/93ILie4r.jpg","View")</f>
        <v>View</v>
      </c>
    </row>
    <row r="408" spans="1:21" ht="51">
      <c r="A408" s="6">
        <v>43424.641423611116</v>
      </c>
      <c r="B408" s="7" t="str">
        <f>HYPERLINK("https://twitter.com/jj4lejandro","@jj4lejandro")</f>
        <v>@jj4lejandro</v>
      </c>
      <c r="C408" s="8" t="s">
        <v>1566</v>
      </c>
      <c r="D408" s="9" t="s">
        <v>1567</v>
      </c>
      <c r="E408" s="10" t="str">
        <f>HYPERLINK("https://twitter.com/jj4lejandro/status/1064886998144610311","1064886998144610311")</f>
        <v>1064886998144610311</v>
      </c>
      <c r="F408" s="12"/>
      <c r="G408" s="12"/>
      <c r="H408" s="12"/>
      <c r="I408" s="13">
        <v>0</v>
      </c>
      <c r="J408" s="13">
        <v>1</v>
      </c>
      <c r="K408" s="14" t="str">
        <f t="shared" si="141"/>
        <v>Twitter for iPhone</v>
      </c>
      <c r="L408" s="13">
        <v>155</v>
      </c>
      <c r="M408" s="13">
        <v>360</v>
      </c>
      <c r="N408" s="13">
        <v>1</v>
      </c>
      <c r="O408" s="15"/>
      <c r="P408" s="6">
        <v>43244.769988425927</v>
      </c>
      <c r="Q408" s="16" t="s">
        <v>1568</v>
      </c>
      <c r="R408" s="17" t="s">
        <v>1569</v>
      </c>
      <c r="S408" s="12"/>
      <c r="T408" s="12"/>
      <c r="U408" s="10" t="str">
        <f>HYPERLINK("https://pbs.twimg.com/profile_images/1056022002262269952/ZJnCsVA_.jpg","View")</f>
        <v>View</v>
      </c>
    </row>
    <row r="409" spans="1:21" ht="40.799999999999997">
      <c r="A409" s="6">
        <v>43424.636932870373</v>
      </c>
      <c r="B409" s="7" t="str">
        <f>HYPERLINK("https://twitter.com/cesar_artaza","@cesar_artaza")</f>
        <v>@cesar_artaza</v>
      </c>
      <c r="C409" s="8" t="s">
        <v>1570</v>
      </c>
      <c r="D409" s="9" t="s">
        <v>1571</v>
      </c>
      <c r="E409" s="10" t="str">
        <f>HYPERLINK("https://twitter.com/cesar_artaza/status/1064885371769667584","1064885371769667584")</f>
        <v>1064885371769667584</v>
      </c>
      <c r="F409" s="12"/>
      <c r="G409" s="12"/>
      <c r="H409" s="12"/>
      <c r="I409" s="13">
        <v>0</v>
      </c>
      <c r="J409" s="13">
        <v>0</v>
      </c>
      <c r="K409" s="14" t="str">
        <f>HYPERLINK("http://twitter.com","Twitter Web Client")</f>
        <v>Twitter Web Client</v>
      </c>
      <c r="L409" s="13">
        <v>426</v>
      </c>
      <c r="M409" s="13">
        <v>1129</v>
      </c>
      <c r="N409" s="13">
        <v>6</v>
      </c>
      <c r="O409" s="15"/>
      <c r="P409" s="6">
        <v>40469.75513888889</v>
      </c>
      <c r="Q409" s="16" t="s">
        <v>989</v>
      </c>
      <c r="R409" s="17" t="s">
        <v>1572</v>
      </c>
      <c r="S409" s="12"/>
      <c r="T409" s="12"/>
      <c r="U409" s="10" t="str">
        <f>HYPERLINK("https://pbs.twimg.com/profile_images/1028941966791331840/4NP0UZYz.jpg","View")</f>
        <v>View</v>
      </c>
    </row>
    <row r="410" spans="1:21" ht="91.8">
      <c r="A410" s="6">
        <v>43424.627245370371</v>
      </c>
      <c r="B410" s="7" t="str">
        <f>HYPERLINK("https://twitter.com/Santi_ABASCAL","@Santi_ABASCAL")</f>
        <v>@Santi_ABASCAL</v>
      </c>
      <c r="C410" s="8" t="s">
        <v>182</v>
      </c>
      <c r="D410" s="9" t="s">
        <v>1819</v>
      </c>
      <c r="E410" s="10" t="str">
        <f>HYPERLINK("https://twitter.com/Santi_ABASCAL/status/1064881860789047296","1064881860789047296")</f>
        <v>1064881860789047296</v>
      </c>
      <c r="F410" s="16" t="s">
        <v>1820</v>
      </c>
      <c r="G410" s="12"/>
      <c r="H410" s="12"/>
      <c r="I410" s="13">
        <v>1300</v>
      </c>
      <c r="J410" s="13">
        <v>2501</v>
      </c>
      <c r="K410" s="14" t="str">
        <f>HYPERLINK("http://twitter.com/download/android","Twitter for Android")</f>
        <v>Twitter for Android</v>
      </c>
      <c r="L410" s="13">
        <v>117602</v>
      </c>
      <c r="M410" s="13">
        <v>3896</v>
      </c>
      <c r="N410" s="13">
        <v>915</v>
      </c>
      <c r="O410" s="23" t="s">
        <v>186</v>
      </c>
      <c r="P410" s="6">
        <v>40606.716446759259</v>
      </c>
      <c r="Q410" s="16" t="s">
        <v>188</v>
      </c>
      <c r="R410" s="17" t="s">
        <v>189</v>
      </c>
      <c r="S410" s="11" t="s">
        <v>190</v>
      </c>
      <c r="T410" s="12"/>
      <c r="U410" s="10" t="str">
        <f>HYPERLINK("https://pbs.twimg.com/profile_images/1010488787686879232/2CnqYKlD.jpg","View")</f>
        <v>View</v>
      </c>
    </row>
    <row r="411" spans="1:21" ht="51">
      <c r="A411" s="6">
        <v>43424.616354166668</v>
      </c>
      <c r="B411" s="7" t="str">
        <f>HYPERLINK("https://twitter.com/carlizb_","@carlizb_")</f>
        <v>@carlizb_</v>
      </c>
      <c r="C411" s="8" t="s">
        <v>1573</v>
      </c>
      <c r="D411" s="9" t="s">
        <v>1574</v>
      </c>
      <c r="E411" s="10" t="str">
        <f>HYPERLINK("https://twitter.com/carlizb_/status/1064877914385207301","1064877914385207301")</f>
        <v>1064877914385207301</v>
      </c>
      <c r="F411" s="12"/>
      <c r="G411" s="12"/>
      <c r="H411" s="12"/>
      <c r="I411" s="13">
        <v>0</v>
      </c>
      <c r="J411" s="13">
        <v>11</v>
      </c>
      <c r="K411" s="14" t="str">
        <f>HYPERLINK("http://twitter.com","Twitter Web Client")</f>
        <v>Twitter Web Client</v>
      </c>
      <c r="L411" s="13">
        <v>780</v>
      </c>
      <c r="M411" s="13">
        <v>478</v>
      </c>
      <c r="N411" s="13">
        <v>5</v>
      </c>
      <c r="O411" s="15"/>
      <c r="P411" s="6">
        <v>41324.702592592592</v>
      </c>
      <c r="Q411" s="16" t="s">
        <v>1575</v>
      </c>
      <c r="R411" s="17" t="s">
        <v>1576</v>
      </c>
      <c r="S411" s="11" t="s">
        <v>1577</v>
      </c>
      <c r="T411" s="12"/>
      <c r="U411" s="10" t="str">
        <f>HYPERLINK("https://pbs.twimg.com/profile_images/1045702378480173056/1dsntjmZ.jpg","View")</f>
        <v>View</v>
      </c>
    </row>
    <row r="412" spans="1:21" ht="30.6">
      <c r="A412" s="6">
        <v>43424.613356481481</v>
      </c>
      <c r="B412" s="7" t="str">
        <f>HYPERLINK("https://twitter.com/lunadebenidorm","@lunadebenidorm")</f>
        <v>@lunadebenidorm</v>
      </c>
      <c r="C412" s="8" t="s">
        <v>106</v>
      </c>
      <c r="D412" s="9" t="s">
        <v>1578</v>
      </c>
      <c r="E412" s="10" t="str">
        <f>HYPERLINK("https://twitter.com/lunadebenidorm/status/1064876826038808576","1064876826038808576")</f>
        <v>1064876826038808576</v>
      </c>
      <c r="F412" s="12"/>
      <c r="G412" s="12"/>
      <c r="H412" s="12"/>
      <c r="I412" s="13">
        <v>1</v>
      </c>
      <c r="J412" s="13">
        <v>0</v>
      </c>
      <c r="K412" s="14" t="str">
        <f t="shared" ref="K412:K414" si="142">HYPERLINK("http://twitter.com/download/android","Twitter for Android")</f>
        <v>Twitter for Android</v>
      </c>
      <c r="L412" s="13">
        <v>3991</v>
      </c>
      <c r="M412" s="13">
        <v>3978</v>
      </c>
      <c r="N412" s="13">
        <v>79</v>
      </c>
      <c r="O412" s="15"/>
      <c r="P412" s="6">
        <v>41461.81186342593</v>
      </c>
      <c r="Q412" s="12"/>
      <c r="R412" s="17" t="s">
        <v>108</v>
      </c>
      <c r="S412" s="12"/>
      <c r="T412" s="12"/>
      <c r="U412" s="10" t="str">
        <f>HYPERLINK("https://pbs.twimg.com/profile_images/1061229593758257153/rePCQt08.jpg","View")</f>
        <v>View</v>
      </c>
    </row>
    <row r="413" spans="1:21" ht="30.6">
      <c r="A413" s="6">
        <v>43424.605069444442</v>
      </c>
      <c r="B413" s="7" t="str">
        <f>HYPERLINK("https://twitter.com/voxmemes","@voxmemes")</f>
        <v>@voxmemes</v>
      </c>
      <c r="C413" s="8" t="s">
        <v>1382</v>
      </c>
      <c r="D413" s="9" t="s">
        <v>1581</v>
      </c>
      <c r="E413" s="10" t="str">
        <f>HYPERLINK("https://twitter.com/voxmemes/status/1064873822866866176","1064873822866866176")</f>
        <v>1064873822866866176</v>
      </c>
      <c r="F413" s="12"/>
      <c r="G413" s="11" t="s">
        <v>1584</v>
      </c>
      <c r="H413" s="12"/>
      <c r="I413" s="13">
        <v>18</v>
      </c>
      <c r="J413" s="13">
        <v>66</v>
      </c>
      <c r="K413" s="14" t="str">
        <f t="shared" si="142"/>
        <v>Twitter for Android</v>
      </c>
      <c r="L413" s="13">
        <v>237</v>
      </c>
      <c r="M413" s="13">
        <v>13</v>
      </c>
      <c r="N413" s="13">
        <v>1</v>
      </c>
      <c r="O413" s="15"/>
      <c r="P413" s="6">
        <v>43408.780289351853</v>
      </c>
      <c r="Q413" s="16" t="s">
        <v>698</v>
      </c>
      <c r="R413" s="17" t="s">
        <v>1385</v>
      </c>
      <c r="S413" s="12"/>
      <c r="T413" s="12"/>
      <c r="U413" s="10" t="str">
        <f>HYPERLINK("https://pbs.twimg.com/profile_images/1059165177357238272/GxeK50yH.jpg","View")</f>
        <v>View</v>
      </c>
    </row>
    <row r="414" spans="1:21" ht="13.2">
      <c r="A414" s="6">
        <v>43424.599918981483</v>
      </c>
      <c r="B414" s="7" t="str">
        <f>HYPERLINK("https://twitter.com/lunadebenidorm","@lunadebenidorm")</f>
        <v>@lunadebenidorm</v>
      </c>
      <c r="C414" s="8" t="s">
        <v>106</v>
      </c>
      <c r="D414" s="9" t="s">
        <v>1585</v>
      </c>
      <c r="E414" s="10" t="str">
        <f>HYPERLINK("https://twitter.com/lunadebenidorm/status/1064871957555003392","1064871957555003392")</f>
        <v>1064871957555003392</v>
      </c>
      <c r="F414" s="12"/>
      <c r="G414" s="11" t="s">
        <v>1586</v>
      </c>
      <c r="H414" s="12"/>
      <c r="I414" s="13">
        <v>0</v>
      </c>
      <c r="J414" s="13">
        <v>0</v>
      </c>
      <c r="K414" s="14" t="str">
        <f t="shared" si="142"/>
        <v>Twitter for Android</v>
      </c>
      <c r="L414" s="13">
        <v>3991</v>
      </c>
      <c r="M414" s="13">
        <v>3978</v>
      </c>
      <c r="N414" s="13">
        <v>79</v>
      </c>
      <c r="O414" s="15"/>
      <c r="P414" s="6">
        <v>41461.81186342593</v>
      </c>
      <c r="Q414" s="12"/>
      <c r="R414" s="17" t="s">
        <v>108</v>
      </c>
      <c r="S414" s="12"/>
      <c r="T414" s="12"/>
      <c r="U414" s="10" t="str">
        <f>HYPERLINK("https://pbs.twimg.com/profile_images/1061229593758257153/rePCQt08.jpg","View")</f>
        <v>View</v>
      </c>
    </row>
    <row r="415" spans="1:21" ht="102">
      <c r="A415" s="6">
        <v>43424.599803240737</v>
      </c>
      <c r="B415" s="7" t="str">
        <f t="shared" ref="B415:B416" si="143">HYPERLINK("https://twitter.com/NeroPaddilla","@NeroPaddilla")</f>
        <v>@NeroPaddilla</v>
      </c>
      <c r="C415" s="8" t="s">
        <v>1546</v>
      </c>
      <c r="D415" s="9" t="s">
        <v>1589</v>
      </c>
      <c r="E415" s="10" t="str">
        <f>HYPERLINK("https://twitter.com/NeroPaddilla/status/1064871914307559424","1064871914307559424")</f>
        <v>1064871914307559424</v>
      </c>
      <c r="F415" s="16" t="s">
        <v>1590</v>
      </c>
      <c r="G415" s="12"/>
      <c r="H415" s="12"/>
      <c r="I415" s="13">
        <v>0</v>
      </c>
      <c r="J415" s="13">
        <v>1</v>
      </c>
      <c r="K415" s="14" t="str">
        <f t="shared" ref="K415:K416" si="144">HYPERLINK("http://twitter.com","Twitter Web Client")</f>
        <v>Twitter Web Client</v>
      </c>
      <c r="L415" s="13">
        <v>530</v>
      </c>
      <c r="M415" s="13">
        <v>1145</v>
      </c>
      <c r="N415" s="13">
        <v>0</v>
      </c>
      <c r="O415" s="15"/>
      <c r="P415" s="6">
        <v>43177.728159722217</v>
      </c>
      <c r="Q415" s="12"/>
      <c r="R415" s="21"/>
      <c r="S415" s="12"/>
      <c r="T415" s="12"/>
      <c r="U415" s="10" t="str">
        <f t="shared" ref="U415:U416" si="145">HYPERLINK("https://pbs.twimg.com/profile_images/975414123369500672/1Q9skH_w.jpg","View")</f>
        <v>View</v>
      </c>
    </row>
    <row r="416" spans="1:21" ht="102">
      <c r="A416" s="6">
        <v>43424.598333333328</v>
      </c>
      <c r="B416" s="7" t="str">
        <f t="shared" si="143"/>
        <v>@NeroPaddilla</v>
      </c>
      <c r="C416" s="8" t="s">
        <v>1546</v>
      </c>
      <c r="D416" s="9" t="s">
        <v>1593</v>
      </c>
      <c r="E416" s="10" t="str">
        <f>HYPERLINK("https://twitter.com/NeroPaddilla/status/1064871382662750209","1064871382662750209")</f>
        <v>1064871382662750209</v>
      </c>
      <c r="F416" s="11" t="s">
        <v>1594</v>
      </c>
      <c r="G416" s="11" t="s">
        <v>1595</v>
      </c>
      <c r="H416" s="12"/>
      <c r="I416" s="13">
        <v>0</v>
      </c>
      <c r="J416" s="13">
        <v>0</v>
      </c>
      <c r="K416" s="14" t="str">
        <f t="shared" si="144"/>
        <v>Twitter Web Client</v>
      </c>
      <c r="L416" s="13">
        <v>530</v>
      </c>
      <c r="M416" s="13">
        <v>1145</v>
      </c>
      <c r="N416" s="13">
        <v>0</v>
      </c>
      <c r="O416" s="15"/>
      <c r="P416" s="6">
        <v>43177.728159722217</v>
      </c>
      <c r="Q416" s="12"/>
      <c r="R416" s="21"/>
      <c r="S416" s="12"/>
      <c r="T416" s="12"/>
      <c r="U416" s="10" t="str">
        <f t="shared" si="145"/>
        <v>View</v>
      </c>
    </row>
    <row r="417" spans="1:21" ht="61.2">
      <c r="A417" s="6">
        <v>43424.597685185188</v>
      </c>
      <c r="B417" s="7" t="str">
        <f>HYPERLINK("https://twitter.com/Hayek_2017","@Hayek_2017")</f>
        <v>@Hayek_2017</v>
      </c>
      <c r="C417" s="8" t="s">
        <v>1596</v>
      </c>
      <c r="D417" s="9" t="s">
        <v>1597</v>
      </c>
      <c r="E417" s="10" t="str">
        <f>HYPERLINK("https://twitter.com/Hayek_2017/status/1064871146754056193","1064871146754056193")</f>
        <v>1064871146754056193</v>
      </c>
      <c r="F417" s="12"/>
      <c r="G417" s="11" t="s">
        <v>1598</v>
      </c>
      <c r="H417" s="12"/>
      <c r="I417" s="13">
        <v>5</v>
      </c>
      <c r="J417" s="13">
        <v>2</v>
      </c>
      <c r="K417" s="14" t="str">
        <f>HYPERLINK("http://twitter.com/download/android","Twitter for Android")</f>
        <v>Twitter for Android</v>
      </c>
      <c r="L417" s="13">
        <v>456</v>
      </c>
      <c r="M417" s="13">
        <v>188</v>
      </c>
      <c r="N417" s="13">
        <v>9</v>
      </c>
      <c r="O417" s="15"/>
      <c r="P417" s="6">
        <v>43016.957094907411</v>
      </c>
      <c r="Q417" s="16" t="s">
        <v>1599</v>
      </c>
      <c r="R417" s="17" t="s">
        <v>1600</v>
      </c>
      <c r="S417" s="12"/>
      <c r="T417" s="12"/>
      <c r="U417" s="10" t="str">
        <f>HYPERLINK("https://pbs.twimg.com/profile_images/1064919856301060096/kmwnygBn.jpg","View")</f>
        <v>View</v>
      </c>
    </row>
    <row r="418" spans="1:21" ht="102">
      <c r="A418" s="6">
        <v>43424.597268518519</v>
      </c>
      <c r="B418" s="7" t="str">
        <f>HYPERLINK("https://twitter.com/NeroPaddilla","@NeroPaddilla")</f>
        <v>@NeroPaddilla</v>
      </c>
      <c r="C418" s="8" t="s">
        <v>1546</v>
      </c>
      <c r="D418" s="9" t="s">
        <v>1601</v>
      </c>
      <c r="E418" s="10" t="str">
        <f>HYPERLINK("https://twitter.com/NeroPaddilla/status/1064870995360706560","1064870995360706560")</f>
        <v>1064870995360706560</v>
      </c>
      <c r="F418" s="16" t="s">
        <v>1602</v>
      </c>
      <c r="G418" s="12"/>
      <c r="H418" s="12"/>
      <c r="I418" s="13">
        <v>1</v>
      </c>
      <c r="J418" s="13">
        <v>1</v>
      </c>
      <c r="K418" s="14" t="str">
        <f t="shared" ref="K418:K421" si="146">HYPERLINK("http://twitter.com","Twitter Web Client")</f>
        <v>Twitter Web Client</v>
      </c>
      <c r="L418" s="13">
        <v>530</v>
      </c>
      <c r="M418" s="13">
        <v>1145</v>
      </c>
      <c r="N418" s="13">
        <v>0</v>
      </c>
      <c r="O418" s="15"/>
      <c r="P418" s="6">
        <v>43177.728159722217</v>
      </c>
      <c r="Q418" s="12"/>
      <c r="R418" s="21"/>
      <c r="S418" s="12"/>
      <c r="T418" s="12"/>
      <c r="U418" s="10" t="str">
        <f>HYPERLINK("https://pbs.twimg.com/profile_images/975414123369500672/1Q9skH_w.jpg","View")</f>
        <v>View</v>
      </c>
    </row>
    <row r="419" spans="1:21" ht="30.6">
      <c r="A419" s="6">
        <v>43424.597141203703</v>
      </c>
      <c r="B419" s="7" t="str">
        <f>HYPERLINK("https://twitter.com/Napalism","@Napalism")</f>
        <v>@Napalism</v>
      </c>
      <c r="C419" s="8" t="s">
        <v>1603</v>
      </c>
      <c r="D419" s="9" t="s">
        <v>1604</v>
      </c>
      <c r="E419" s="10" t="str">
        <f>HYPERLINK("https://twitter.com/Napalism/status/1064870948954882048","1064870948954882048")</f>
        <v>1064870948954882048</v>
      </c>
      <c r="F419" s="12"/>
      <c r="G419" s="12"/>
      <c r="H419" s="12"/>
      <c r="I419" s="13">
        <v>2</v>
      </c>
      <c r="J419" s="13">
        <v>2</v>
      </c>
      <c r="K419" s="14" t="str">
        <f t="shared" si="146"/>
        <v>Twitter Web Client</v>
      </c>
      <c r="L419" s="13">
        <v>770</v>
      </c>
      <c r="M419" s="13">
        <v>314</v>
      </c>
      <c r="N419" s="13">
        <v>14</v>
      </c>
      <c r="O419" s="15"/>
      <c r="P419" s="6">
        <v>40568.506377314814</v>
      </c>
      <c r="Q419" s="16" t="s">
        <v>1605</v>
      </c>
      <c r="R419" s="17" t="s">
        <v>1606</v>
      </c>
      <c r="S419" s="12"/>
      <c r="T419" s="12"/>
      <c r="U419" s="10" t="str">
        <f>HYPERLINK("https://pbs.twimg.com/profile_images/957350979808235520/HK6xGWR4.jpg","View")</f>
        <v>View</v>
      </c>
    </row>
    <row r="420" spans="1:21" ht="81.599999999999994">
      <c r="A420" s="6">
        <v>43424.595092592594</v>
      </c>
      <c r="B420" s="7" t="str">
        <f t="shared" ref="B420:B421" si="147">HYPERLINK("https://twitter.com/NeroPaddilla","@NeroPaddilla")</f>
        <v>@NeroPaddilla</v>
      </c>
      <c r="C420" s="8" t="s">
        <v>1546</v>
      </c>
      <c r="D420" s="9" t="s">
        <v>1607</v>
      </c>
      <c r="E420" s="10" t="str">
        <f>HYPERLINK("https://twitter.com/NeroPaddilla/status/1064870206135304192","1064870206135304192")</f>
        <v>1064870206135304192</v>
      </c>
      <c r="F420" s="11" t="s">
        <v>1609</v>
      </c>
      <c r="G420" s="11" t="s">
        <v>1610</v>
      </c>
      <c r="H420" s="12"/>
      <c r="I420" s="13">
        <v>0</v>
      </c>
      <c r="J420" s="13">
        <v>0</v>
      </c>
      <c r="K420" s="14" t="str">
        <f t="shared" si="146"/>
        <v>Twitter Web Client</v>
      </c>
      <c r="L420" s="13">
        <v>530</v>
      </c>
      <c r="M420" s="13">
        <v>1145</v>
      </c>
      <c r="N420" s="13">
        <v>0</v>
      </c>
      <c r="O420" s="15"/>
      <c r="P420" s="6">
        <v>43177.728159722217</v>
      </c>
      <c r="Q420" s="12"/>
      <c r="R420" s="21"/>
      <c r="S420" s="12"/>
      <c r="T420" s="12"/>
      <c r="U420" s="10" t="str">
        <f t="shared" ref="U420:U421" si="148">HYPERLINK("https://pbs.twimg.com/profile_images/975414123369500672/1Q9skH_w.jpg","View")</f>
        <v>View</v>
      </c>
    </row>
    <row r="421" spans="1:21" ht="102">
      <c r="A421" s="6">
        <v>43424.593923611115</v>
      </c>
      <c r="B421" s="7" t="str">
        <f t="shared" si="147"/>
        <v>@NeroPaddilla</v>
      </c>
      <c r="C421" s="8" t="s">
        <v>1546</v>
      </c>
      <c r="D421" s="9" t="s">
        <v>1611</v>
      </c>
      <c r="E421" s="10" t="str">
        <f>HYPERLINK("https://twitter.com/NeroPaddilla/status/1064869782577733632","1064869782577733632")</f>
        <v>1064869782577733632</v>
      </c>
      <c r="F421" s="11" t="s">
        <v>1612</v>
      </c>
      <c r="G421" s="11" t="s">
        <v>1613</v>
      </c>
      <c r="H421" s="12"/>
      <c r="I421" s="13">
        <v>0</v>
      </c>
      <c r="J421" s="13">
        <v>0</v>
      </c>
      <c r="K421" s="14" t="str">
        <f t="shared" si="146"/>
        <v>Twitter Web Client</v>
      </c>
      <c r="L421" s="13">
        <v>530</v>
      </c>
      <c r="M421" s="13">
        <v>1145</v>
      </c>
      <c r="N421" s="13">
        <v>0</v>
      </c>
      <c r="O421" s="15"/>
      <c r="P421" s="6">
        <v>43177.728159722217</v>
      </c>
      <c r="Q421" s="12"/>
      <c r="R421" s="21"/>
      <c r="S421" s="12"/>
      <c r="T421" s="12"/>
      <c r="U421" s="10" t="str">
        <f t="shared" si="148"/>
        <v>View</v>
      </c>
    </row>
    <row r="422" spans="1:21" ht="102">
      <c r="A422" s="6">
        <v>43424.584409722222</v>
      </c>
      <c r="B422" s="7" t="str">
        <f>HYPERLINK("https://twitter.com/MariaKeka24","@MariaKeka24")</f>
        <v>@MariaKeka24</v>
      </c>
      <c r="C422" s="8" t="s">
        <v>1614</v>
      </c>
      <c r="D422" s="9" t="s">
        <v>1615</v>
      </c>
      <c r="E422" s="10" t="str">
        <f>HYPERLINK("https://twitter.com/MariaKeka24/status/1064866336571121664","1064866336571121664")</f>
        <v>1064866336571121664</v>
      </c>
      <c r="F422" s="11" t="s">
        <v>1616</v>
      </c>
      <c r="G422" s="11" t="s">
        <v>1617</v>
      </c>
      <c r="H422" s="12"/>
      <c r="I422" s="13">
        <v>0</v>
      </c>
      <c r="J422" s="13">
        <v>0</v>
      </c>
      <c r="K422" s="14" t="str">
        <f t="shared" ref="K422:K423" si="149">HYPERLINK("http://twitter.com/download/android","Twitter for Android")</f>
        <v>Twitter for Android</v>
      </c>
      <c r="L422" s="13">
        <v>1222</v>
      </c>
      <c r="M422" s="13">
        <v>802</v>
      </c>
      <c r="N422" s="13">
        <v>5</v>
      </c>
      <c r="O422" s="15"/>
      <c r="P422" s="6">
        <v>40721.970983796295</v>
      </c>
      <c r="Q422" s="16" t="s">
        <v>66</v>
      </c>
      <c r="R422" s="17" t="s">
        <v>1618</v>
      </c>
      <c r="S422" s="12"/>
      <c r="T422" s="12"/>
      <c r="U422" s="10" t="str">
        <f>HYPERLINK("https://pbs.twimg.com/profile_images/996355027336916992/bXY-tuQZ.jpg","View")</f>
        <v>View</v>
      </c>
    </row>
    <row r="423" spans="1:21" ht="51">
      <c r="A423" s="6">
        <v>43424.581296296295</v>
      </c>
      <c r="B423" s="7" t="str">
        <f>HYPERLINK("https://twitter.com/ManuelRubio2101","@ManuelRubio2101")</f>
        <v>@ManuelRubio2101</v>
      </c>
      <c r="C423" s="8" t="s">
        <v>1619</v>
      </c>
      <c r="D423" s="9" t="s">
        <v>1620</v>
      </c>
      <c r="E423" s="10" t="str">
        <f>HYPERLINK("https://twitter.com/ManuelRubio2101/status/1064865208785608704","1064865208785608704")</f>
        <v>1064865208785608704</v>
      </c>
      <c r="F423" s="12"/>
      <c r="G423" s="12"/>
      <c r="H423" s="12"/>
      <c r="I423" s="13">
        <v>0</v>
      </c>
      <c r="J423" s="13">
        <v>0</v>
      </c>
      <c r="K423" s="14" t="str">
        <f t="shared" si="149"/>
        <v>Twitter for Android</v>
      </c>
      <c r="L423" s="13">
        <v>1</v>
      </c>
      <c r="M423" s="13">
        <v>39</v>
      </c>
      <c r="N423" s="13">
        <v>0</v>
      </c>
      <c r="O423" s="15"/>
      <c r="P423" s="6">
        <v>43409.535937499997</v>
      </c>
      <c r="Q423" s="12"/>
      <c r="R423" s="17" t="s">
        <v>1621</v>
      </c>
      <c r="S423" s="12"/>
      <c r="T423" s="12"/>
      <c r="U423" s="10" t="str">
        <f>HYPERLINK("https://pbs.twimg.com/profile_images/1059498090317651969/0Brb0E5n.jpg","View")</f>
        <v>View</v>
      </c>
    </row>
    <row r="424" spans="1:21" ht="81.599999999999994">
      <c r="A424" s="6">
        <v>43424.576481481483</v>
      </c>
      <c r="B424" s="7" t="str">
        <f>HYPERLINK("https://twitter.com/Jrmgonzalez","@Jrmgonzalez")</f>
        <v>@Jrmgonzalez</v>
      </c>
      <c r="C424" s="8" t="s">
        <v>308</v>
      </c>
      <c r="D424" s="9" t="s">
        <v>1622</v>
      </c>
      <c r="E424" s="10" t="str">
        <f>HYPERLINK("https://twitter.com/Jrmgonzalez/status/1064863464479428608","1064863464479428608")</f>
        <v>1064863464479428608</v>
      </c>
      <c r="F424" s="16" t="s">
        <v>1623</v>
      </c>
      <c r="G424" s="12"/>
      <c r="H424" s="12"/>
      <c r="I424" s="13">
        <v>1</v>
      </c>
      <c r="J424" s="13">
        <v>2</v>
      </c>
      <c r="K424" s="14" t="str">
        <f t="shared" ref="K424:K425" si="150">HYPERLINK("http://twitter.com/download/iphone","Twitter for iPhone")</f>
        <v>Twitter for iPhone</v>
      </c>
      <c r="L424" s="13">
        <v>32</v>
      </c>
      <c r="M424" s="13">
        <v>265</v>
      </c>
      <c r="N424" s="13">
        <v>2</v>
      </c>
      <c r="O424" s="15"/>
      <c r="P424" s="6">
        <v>41696.563379629632</v>
      </c>
      <c r="Q424" s="16" t="s">
        <v>312</v>
      </c>
      <c r="R424" s="17" t="s">
        <v>313</v>
      </c>
      <c r="S424" s="12"/>
      <c r="T424" s="12"/>
      <c r="U424" s="10" t="str">
        <f>HYPERLINK("https://pbs.twimg.com/profile_images/951188977960222721/P3ZmIVlt.jpg","View")</f>
        <v>View</v>
      </c>
    </row>
    <row r="425" spans="1:21" ht="40.799999999999997">
      <c r="A425" s="6">
        <v>43424.565925925926</v>
      </c>
      <c r="B425" s="7" t="str">
        <f>HYPERLINK("https://twitter.com/gonzalezpej","@gonzalezpej")</f>
        <v>@gonzalezpej</v>
      </c>
      <c r="C425" s="8" t="s">
        <v>1624</v>
      </c>
      <c r="D425" s="9" t="s">
        <v>1625</v>
      </c>
      <c r="E425" s="10" t="str">
        <f>HYPERLINK("https://twitter.com/gonzalezpej/status/1064859638192054272","1064859638192054272")</f>
        <v>1064859638192054272</v>
      </c>
      <c r="F425" s="12"/>
      <c r="G425" s="11" t="s">
        <v>1626</v>
      </c>
      <c r="H425" s="12"/>
      <c r="I425" s="13">
        <v>1</v>
      </c>
      <c r="J425" s="13">
        <v>2</v>
      </c>
      <c r="K425" s="14" t="str">
        <f t="shared" si="150"/>
        <v>Twitter for iPhone</v>
      </c>
      <c r="L425" s="13">
        <v>48</v>
      </c>
      <c r="M425" s="13">
        <v>175</v>
      </c>
      <c r="N425" s="13">
        <v>0</v>
      </c>
      <c r="O425" s="15"/>
      <c r="P425" s="6">
        <v>43144.507835648154</v>
      </c>
      <c r="Q425" s="16" t="s">
        <v>1627</v>
      </c>
      <c r="R425" s="17" t="s">
        <v>1628</v>
      </c>
      <c r="S425" s="11" t="s">
        <v>187</v>
      </c>
      <c r="T425" s="12"/>
      <c r="U425" s="10" t="str">
        <f>HYPERLINK("https://pbs.twimg.com/profile_images/1057230257017839616/-j9djDH3.jpg","View")</f>
        <v>View</v>
      </c>
    </row>
    <row r="426" spans="1:21" ht="30.6">
      <c r="A426" s="6">
        <v>43424.562905092593</v>
      </c>
      <c r="B426" s="7" t="str">
        <f>HYPERLINK("https://twitter.com/JoseMamalover","@JoseMamalover")</f>
        <v>@JoseMamalover</v>
      </c>
      <c r="C426" s="8" t="s">
        <v>1629</v>
      </c>
      <c r="D426" s="9" t="s">
        <v>1631</v>
      </c>
      <c r="E426" s="10" t="str">
        <f>HYPERLINK("https://twitter.com/JoseMamalover/status/1064858541448663041","1064858541448663041")</f>
        <v>1064858541448663041</v>
      </c>
      <c r="F426" s="12"/>
      <c r="G426" s="12"/>
      <c r="H426" s="12"/>
      <c r="I426" s="13">
        <v>0</v>
      </c>
      <c r="J426" s="13">
        <v>0</v>
      </c>
      <c r="K426" s="14" t="str">
        <f>HYPERLINK("http://twitter.com/download/android","Twitter for Android")</f>
        <v>Twitter for Android</v>
      </c>
      <c r="L426" s="13">
        <v>11</v>
      </c>
      <c r="M426" s="13">
        <v>97</v>
      </c>
      <c r="N426" s="13">
        <v>0</v>
      </c>
      <c r="O426" s="15"/>
      <c r="P426" s="6">
        <v>43401.864270833335</v>
      </c>
      <c r="Q426" s="12"/>
      <c r="R426" s="21"/>
      <c r="S426" s="12"/>
      <c r="T426" s="12"/>
      <c r="U426" s="10" t="str">
        <f>HYPERLINK("https://pbs.twimg.com/profile_images/1056633892273377286/LUHgwz9i.jpg","View")</f>
        <v>View</v>
      </c>
    </row>
    <row r="427" spans="1:21" ht="61.2">
      <c r="A427" s="6">
        <v>43424.559548611112</v>
      </c>
      <c r="B427" s="7" t="str">
        <f>HYPERLINK("https://twitter.com/jj4lejandro","@jj4lejandro")</f>
        <v>@jj4lejandro</v>
      </c>
      <c r="C427" s="8" t="s">
        <v>1566</v>
      </c>
      <c r="D427" s="9" t="s">
        <v>1634</v>
      </c>
      <c r="E427" s="10" t="str">
        <f>HYPERLINK("https://twitter.com/jj4lejandro/status/1064857325889048576","1064857325889048576")</f>
        <v>1064857325889048576</v>
      </c>
      <c r="F427" s="12"/>
      <c r="G427" s="12"/>
      <c r="H427" s="12"/>
      <c r="I427" s="13">
        <v>0</v>
      </c>
      <c r="J427" s="13">
        <v>0</v>
      </c>
      <c r="K427" s="14" t="str">
        <f>HYPERLINK("http://twitter.com/download/iphone","Twitter for iPhone")</f>
        <v>Twitter for iPhone</v>
      </c>
      <c r="L427" s="13">
        <v>155</v>
      </c>
      <c r="M427" s="13">
        <v>360</v>
      </c>
      <c r="N427" s="13">
        <v>1</v>
      </c>
      <c r="O427" s="15"/>
      <c r="P427" s="6">
        <v>43244.769988425927</v>
      </c>
      <c r="Q427" s="16" t="s">
        <v>1568</v>
      </c>
      <c r="R427" s="17" t="s">
        <v>1569</v>
      </c>
      <c r="S427" s="12"/>
      <c r="T427" s="12"/>
      <c r="U427" s="10" t="str">
        <f>HYPERLINK("https://pbs.twimg.com/profile_images/1056022002262269952/ZJnCsVA_.jpg","View")</f>
        <v>View</v>
      </c>
    </row>
    <row r="428" spans="1:21" ht="51">
      <c r="A428" s="6">
        <v>43424.554756944446</v>
      </c>
      <c r="B428" s="7" t="str">
        <f>HYPERLINK("https://twitter.com/alejandra52","@alejandra52")</f>
        <v>@alejandra52</v>
      </c>
      <c r="C428" s="8" t="s">
        <v>1635</v>
      </c>
      <c r="D428" s="9" t="s">
        <v>1636</v>
      </c>
      <c r="E428" s="10" t="str">
        <f>HYPERLINK("https://twitter.com/alejandra52/status/1064855591221452800","1064855591221452800")</f>
        <v>1064855591221452800</v>
      </c>
      <c r="F428" s="11" t="s">
        <v>1637</v>
      </c>
      <c r="G428" s="11" t="s">
        <v>1638</v>
      </c>
      <c r="H428" s="12"/>
      <c r="I428" s="13">
        <v>1</v>
      </c>
      <c r="J428" s="13">
        <v>1</v>
      </c>
      <c r="K428" s="14" t="str">
        <f>HYPERLINK("http://twitter.com/download/android","Twitter for Android")</f>
        <v>Twitter for Android</v>
      </c>
      <c r="L428" s="13">
        <v>3718</v>
      </c>
      <c r="M428" s="13">
        <v>3754</v>
      </c>
      <c r="N428" s="13">
        <v>53</v>
      </c>
      <c r="O428" s="15"/>
      <c r="P428" s="6">
        <v>40303.734606481477</v>
      </c>
      <c r="Q428" s="16" t="s">
        <v>1639</v>
      </c>
      <c r="R428" s="17" t="s">
        <v>1640</v>
      </c>
      <c r="S428" s="12"/>
      <c r="T428" s="12"/>
      <c r="U428" s="10" t="str">
        <f>HYPERLINK("https://pbs.twimg.com/profile_images/1042413787041746954/LOuu9CvM.jpg","View")</f>
        <v>View</v>
      </c>
    </row>
    <row r="429" spans="1:21" ht="40.799999999999997">
      <c r="A429" s="6">
        <v>43424.527349537035</v>
      </c>
      <c r="B429" s="7" t="str">
        <f>HYPERLINK("https://twitter.com/cruzverde_","@cruzverde_")</f>
        <v>@cruzverde_</v>
      </c>
      <c r="C429" s="8" t="s">
        <v>1641</v>
      </c>
      <c r="D429" s="9" t="s">
        <v>1642</v>
      </c>
      <c r="E429" s="10" t="str">
        <f>HYPERLINK("https://twitter.com/cruzverde_/status/1064845659449241602","1064845659449241602")</f>
        <v>1064845659449241602</v>
      </c>
      <c r="F429" s="12"/>
      <c r="G429" s="12"/>
      <c r="H429" s="12"/>
      <c r="I429" s="13">
        <v>0</v>
      </c>
      <c r="J429" s="13">
        <v>0</v>
      </c>
      <c r="K429" s="14" t="str">
        <f>HYPERLINK("http://twitter.com","Twitter Web Client")</f>
        <v>Twitter Web Client</v>
      </c>
      <c r="L429" s="13">
        <v>1481</v>
      </c>
      <c r="M429" s="13">
        <v>2657</v>
      </c>
      <c r="N429" s="13">
        <v>40</v>
      </c>
      <c r="O429" s="15"/>
      <c r="P429" s="6">
        <v>40163.003703703704</v>
      </c>
      <c r="Q429" s="12"/>
      <c r="R429" s="17" t="s">
        <v>1643</v>
      </c>
      <c r="S429" s="11" t="s">
        <v>1644</v>
      </c>
      <c r="T429" s="12"/>
      <c r="U429" s="10" t="str">
        <f>HYPERLINK("https://pbs.twimg.com/profile_images/1784494170/AvatarRRSS.jpg","View")</f>
        <v>View</v>
      </c>
    </row>
    <row r="430" spans="1:21" ht="51">
      <c r="A430" s="6">
        <v>43424.513136574074</v>
      </c>
      <c r="B430" s="7" t="str">
        <f>HYPERLINK("https://twitter.com/gonzalezpej","@gonzalezpej")</f>
        <v>@gonzalezpej</v>
      </c>
      <c r="C430" s="8" t="s">
        <v>1624</v>
      </c>
      <c r="D430" s="9" t="s">
        <v>1645</v>
      </c>
      <c r="E430" s="10" t="str">
        <f>HYPERLINK("https://twitter.com/gonzalezpej/status/1064840509649235970","1064840509649235970")</f>
        <v>1064840509649235970</v>
      </c>
      <c r="F430" s="12"/>
      <c r="G430" s="12"/>
      <c r="H430" s="12"/>
      <c r="I430" s="13">
        <v>0</v>
      </c>
      <c r="J430" s="13">
        <v>0</v>
      </c>
      <c r="K430" s="14" t="str">
        <f t="shared" ref="K430:K431" si="151">HYPERLINK("http://twitter.com/download/iphone","Twitter for iPhone")</f>
        <v>Twitter for iPhone</v>
      </c>
      <c r="L430" s="13">
        <v>48</v>
      </c>
      <c r="M430" s="13">
        <v>175</v>
      </c>
      <c r="N430" s="13">
        <v>0</v>
      </c>
      <c r="O430" s="15"/>
      <c r="P430" s="6">
        <v>43144.507835648154</v>
      </c>
      <c r="Q430" s="16" t="s">
        <v>1627</v>
      </c>
      <c r="R430" s="17" t="s">
        <v>1628</v>
      </c>
      <c r="S430" s="11" t="s">
        <v>187</v>
      </c>
      <c r="T430" s="12"/>
      <c r="U430" s="10" t="str">
        <f>HYPERLINK("https://pbs.twimg.com/profile_images/1057230257017839616/-j9djDH3.jpg","View")</f>
        <v>View</v>
      </c>
    </row>
    <row r="431" spans="1:21" ht="51">
      <c r="A431" s="6">
        <v>43424.504907407405</v>
      </c>
      <c r="B431" s="7" t="str">
        <f>HYPERLINK("https://twitter.com/Alternativa_VOX","@Alternativa_VOX")</f>
        <v>@Alternativa_VOX</v>
      </c>
      <c r="C431" s="8" t="s">
        <v>977</v>
      </c>
      <c r="D431" s="9" t="s">
        <v>1646</v>
      </c>
      <c r="E431" s="10" t="str">
        <f>HYPERLINK("https://twitter.com/Alternativa_VOX/status/1064837527566237696","1064837527566237696")</f>
        <v>1064837527566237696</v>
      </c>
      <c r="F431" s="12"/>
      <c r="G431" s="11" t="s">
        <v>1647</v>
      </c>
      <c r="H431" s="12"/>
      <c r="I431" s="13">
        <v>175</v>
      </c>
      <c r="J431" s="13">
        <v>298</v>
      </c>
      <c r="K431" s="14" t="str">
        <f t="shared" si="151"/>
        <v>Twitter for iPhone</v>
      </c>
      <c r="L431" s="13">
        <v>14295</v>
      </c>
      <c r="M431" s="13">
        <v>2342</v>
      </c>
      <c r="N431" s="13">
        <v>63</v>
      </c>
      <c r="O431" s="15"/>
      <c r="P431" s="6">
        <v>42414.677303240736</v>
      </c>
      <c r="Q431" s="12"/>
      <c r="R431" s="17" t="s">
        <v>981</v>
      </c>
      <c r="S431" s="12"/>
      <c r="T431" s="12"/>
      <c r="U431" s="10" t="str">
        <f>HYPERLINK("https://pbs.twimg.com/profile_images/1054080233844936705/IYgqsUMs.jpg","View")</f>
        <v>View</v>
      </c>
    </row>
    <row r="432" spans="1:21" ht="71.400000000000006">
      <c r="A432" s="6">
        <v>43424.490995370375</v>
      </c>
      <c r="B432" s="7" t="str">
        <f>HYPERLINK("https://twitter.com/Santi_ABASCAL","@Santi_ABASCAL")</f>
        <v>@Santi_ABASCAL</v>
      </c>
      <c r="C432" s="8" t="s">
        <v>182</v>
      </c>
      <c r="D432" s="9" t="s">
        <v>1910</v>
      </c>
      <c r="E432" s="10" t="str">
        <f>HYPERLINK("https://twitter.com/Santi_ABASCAL/status/1064832482141442049","1064832482141442049")</f>
        <v>1064832482141442049</v>
      </c>
      <c r="F432" s="16" t="s">
        <v>1623</v>
      </c>
      <c r="G432" s="12"/>
      <c r="H432" s="12"/>
      <c r="I432" s="13">
        <v>1106</v>
      </c>
      <c r="J432" s="13">
        <v>1881</v>
      </c>
      <c r="K432" s="14" t="str">
        <f t="shared" ref="K432:K434" si="152">HYPERLINK("http://twitter.com/download/android","Twitter for Android")</f>
        <v>Twitter for Android</v>
      </c>
      <c r="L432" s="13">
        <v>117602</v>
      </c>
      <c r="M432" s="13">
        <v>3896</v>
      </c>
      <c r="N432" s="13">
        <v>915</v>
      </c>
      <c r="O432" s="23" t="s">
        <v>186</v>
      </c>
      <c r="P432" s="6">
        <v>40606.716446759259</v>
      </c>
      <c r="Q432" s="16" t="s">
        <v>188</v>
      </c>
      <c r="R432" s="17" t="s">
        <v>189</v>
      </c>
      <c r="S432" s="11" t="s">
        <v>190</v>
      </c>
      <c r="T432" s="12"/>
      <c r="U432" s="10" t="str">
        <f>HYPERLINK("https://pbs.twimg.com/profile_images/1010488787686879232/2CnqYKlD.jpg","View")</f>
        <v>View</v>
      </c>
    </row>
    <row r="433" spans="1:21" ht="71.400000000000006">
      <c r="A433" s="6">
        <v>43424.487557870365</v>
      </c>
      <c r="B433" s="7" t="str">
        <f>HYPERLINK("https://twitter.com/daguirrev1","@daguirrev1")</f>
        <v>@daguirrev1</v>
      </c>
      <c r="C433" s="8" t="s">
        <v>1648</v>
      </c>
      <c r="D433" s="9" t="s">
        <v>1649</v>
      </c>
      <c r="E433" s="10" t="str">
        <f>HYPERLINK("https://twitter.com/daguirrev1/status/1064831237158854656","1064831237158854656")</f>
        <v>1064831237158854656</v>
      </c>
      <c r="F433" s="11" t="s">
        <v>1650</v>
      </c>
      <c r="G433" s="11" t="s">
        <v>1651</v>
      </c>
      <c r="H433" s="12"/>
      <c r="I433" s="13">
        <v>0</v>
      </c>
      <c r="J433" s="13">
        <v>0</v>
      </c>
      <c r="K433" s="14" t="str">
        <f t="shared" si="152"/>
        <v>Twitter for Android</v>
      </c>
      <c r="L433" s="13">
        <v>401</v>
      </c>
      <c r="M433" s="13">
        <v>888</v>
      </c>
      <c r="N433" s="13">
        <v>8</v>
      </c>
      <c r="O433" s="15"/>
      <c r="P433" s="6">
        <v>40347.071493055555</v>
      </c>
      <c r="Q433" s="16" t="s">
        <v>1652</v>
      </c>
      <c r="R433" s="17" t="s">
        <v>1653</v>
      </c>
      <c r="S433" s="12"/>
      <c r="T433" s="12"/>
      <c r="U433" s="10" t="str">
        <f>HYPERLINK("https://pbs.twimg.com/profile_images/851435420403589121/r20hzvlZ.jpg","View")</f>
        <v>View</v>
      </c>
    </row>
    <row r="434" spans="1:21" ht="20.399999999999999">
      <c r="A434" s="6">
        <v>43424.481932870374</v>
      </c>
      <c r="B434" s="7" t="str">
        <f>HYPERLINK("https://twitter.com/valores_primero","@valores_primero")</f>
        <v>@valores_primero</v>
      </c>
      <c r="C434" s="8" t="s">
        <v>1654</v>
      </c>
      <c r="D434" s="9" t="s">
        <v>1655</v>
      </c>
      <c r="E434" s="10" t="str">
        <f>HYPERLINK("https://twitter.com/valores_primero/status/1064829198085341185","1064829198085341185")</f>
        <v>1064829198085341185</v>
      </c>
      <c r="F434" s="12"/>
      <c r="G434" s="11" t="s">
        <v>1656</v>
      </c>
      <c r="H434" s="12"/>
      <c r="I434" s="13">
        <v>1</v>
      </c>
      <c r="J434" s="13">
        <v>4</v>
      </c>
      <c r="K434" s="14" t="str">
        <f t="shared" si="152"/>
        <v>Twitter for Android</v>
      </c>
      <c r="L434" s="13">
        <v>1093</v>
      </c>
      <c r="M434" s="13">
        <v>885</v>
      </c>
      <c r="N434" s="13">
        <v>27</v>
      </c>
      <c r="O434" s="15"/>
      <c r="P434" s="6">
        <v>40225.037233796298</v>
      </c>
      <c r="Q434" s="12"/>
      <c r="R434" s="17" t="s">
        <v>1657</v>
      </c>
      <c r="S434" s="12"/>
      <c r="T434" s="12"/>
      <c r="U434" s="10" t="str">
        <f>HYPERLINK("https://pbs.twimg.com/profile_images/786261820453560320/wXb1nnhH.jpg","View")</f>
        <v>View</v>
      </c>
    </row>
    <row r="435" spans="1:21" ht="30.6">
      <c r="A435" s="6">
        <v>43424.480624999997</v>
      </c>
      <c r="B435" s="7" t="str">
        <f>HYPERLINK("https://twitter.com/maalpo","@maalpo")</f>
        <v>@maalpo</v>
      </c>
      <c r="C435" s="8" t="s">
        <v>1178</v>
      </c>
      <c r="D435" s="9" t="s">
        <v>1658</v>
      </c>
      <c r="E435" s="10" t="str">
        <f>HYPERLINK("https://twitter.com/maalpo/status/1064828725592768513","1064828725592768513")</f>
        <v>1064828725592768513</v>
      </c>
      <c r="F435" s="11" t="s">
        <v>1659</v>
      </c>
      <c r="G435" s="12"/>
      <c r="H435" s="12"/>
      <c r="I435" s="13">
        <v>0</v>
      </c>
      <c r="J435" s="13">
        <v>0</v>
      </c>
      <c r="K435" s="14" t="str">
        <f>HYPERLINK("http://twitter.com","Twitter Web Client")</f>
        <v>Twitter Web Client</v>
      </c>
      <c r="L435" s="13">
        <v>313</v>
      </c>
      <c r="M435" s="13">
        <v>488</v>
      </c>
      <c r="N435" s="13">
        <v>0</v>
      </c>
      <c r="O435" s="15"/>
      <c r="P435" s="6">
        <v>43260.568182870367</v>
      </c>
      <c r="Q435" s="16" t="s">
        <v>66</v>
      </c>
      <c r="R435" s="17" t="s">
        <v>1181</v>
      </c>
      <c r="S435" s="12"/>
      <c r="T435" s="12"/>
      <c r="U435" s="10" t="str">
        <f>HYPERLINK("https://pbs.twimg.com/profile_images/1049807535585325056/csRioJFl.jpg","View")</f>
        <v>View</v>
      </c>
    </row>
    <row r="436" spans="1:21" ht="40.799999999999997">
      <c r="A436" s="6">
        <v>43424.480208333334</v>
      </c>
      <c r="B436" s="7" t="str">
        <f>HYPERLINK("https://twitter.com/kodiario_","@kodiario_")</f>
        <v>@kodiario_</v>
      </c>
      <c r="C436" s="8" t="s">
        <v>46</v>
      </c>
      <c r="D436" s="9" t="s">
        <v>1660</v>
      </c>
      <c r="E436" s="10" t="str">
        <f>HYPERLINK("https://twitter.com/kodiario_/status/1064828576166498310","1064828576166498310")</f>
        <v>1064828576166498310</v>
      </c>
      <c r="F436" s="12"/>
      <c r="G436" s="11" t="s">
        <v>1661</v>
      </c>
      <c r="H436" s="12"/>
      <c r="I436" s="13">
        <v>1</v>
      </c>
      <c r="J436" s="13">
        <v>2</v>
      </c>
      <c r="K436" s="14" t="str">
        <f t="shared" ref="K436:K440" si="153">HYPERLINK("http://twitter.com/download/android","Twitter for Android")</f>
        <v>Twitter for Android</v>
      </c>
      <c r="L436" s="13">
        <v>4595</v>
      </c>
      <c r="M436" s="13">
        <v>322</v>
      </c>
      <c r="N436" s="13">
        <v>55</v>
      </c>
      <c r="O436" s="15"/>
      <c r="P436" s="6">
        <v>42564.053425925929</v>
      </c>
      <c r="Q436" s="12"/>
      <c r="R436" s="17" t="s">
        <v>49</v>
      </c>
      <c r="S436" s="12"/>
      <c r="T436" s="12"/>
      <c r="U436" s="10" t="str">
        <f>HYPERLINK("https://pbs.twimg.com/profile_images/977352060571148288/z2lxbv4P.jpg","View")</f>
        <v>View</v>
      </c>
    </row>
    <row r="437" spans="1:21" ht="20.399999999999999">
      <c r="A437" s="6">
        <v>43424.466203703705</v>
      </c>
      <c r="B437" s="7" t="str">
        <f>HYPERLINK("https://twitter.com/Nuha_Rguez","@Nuha_Rguez")</f>
        <v>@Nuha_Rguez</v>
      </c>
      <c r="C437" s="8" t="s">
        <v>1662</v>
      </c>
      <c r="D437" s="9" t="s">
        <v>1663</v>
      </c>
      <c r="E437" s="10" t="str">
        <f>HYPERLINK("https://twitter.com/Nuha_Rguez/status/1064823501855645701","1064823501855645701")</f>
        <v>1064823501855645701</v>
      </c>
      <c r="F437" s="12"/>
      <c r="G437" s="11" t="s">
        <v>1664</v>
      </c>
      <c r="H437" s="12"/>
      <c r="I437" s="13">
        <v>1</v>
      </c>
      <c r="J437" s="13">
        <v>1</v>
      </c>
      <c r="K437" s="14" t="str">
        <f t="shared" si="153"/>
        <v>Twitter for Android</v>
      </c>
      <c r="L437" s="13">
        <v>260</v>
      </c>
      <c r="M437" s="13">
        <v>883</v>
      </c>
      <c r="N437" s="13">
        <v>5</v>
      </c>
      <c r="O437" s="15"/>
      <c r="P437" s="6">
        <v>40320.701608796298</v>
      </c>
      <c r="Q437" s="16" t="s">
        <v>1665</v>
      </c>
      <c r="R437" s="17" t="s">
        <v>1666</v>
      </c>
      <c r="S437" s="11" t="s">
        <v>1667</v>
      </c>
      <c r="T437" s="12"/>
      <c r="U437" s="10" t="str">
        <f>HYPERLINK("https://pbs.twimg.com/profile_images/968963953111027712/B1NwHf6d.jpg","View")</f>
        <v>View</v>
      </c>
    </row>
    <row r="438" spans="1:21" ht="40.799999999999997">
      <c r="A438" s="6">
        <v>43424.45579861111</v>
      </c>
      <c r="B438" s="7" t="str">
        <f>HYPERLINK("https://twitter.com/JoseLuisdelRio9","@JoseLuisdelRio9")</f>
        <v>@JoseLuisdelRio9</v>
      </c>
      <c r="C438" s="8" t="s">
        <v>114</v>
      </c>
      <c r="D438" s="9" t="s">
        <v>115</v>
      </c>
      <c r="E438" s="10" t="str">
        <f>HYPERLINK("https://twitter.com/JoseLuisdelRio9/status/1064819730429677568","1064819730429677568")</f>
        <v>1064819730429677568</v>
      </c>
      <c r="F438" s="12"/>
      <c r="G438" s="11" t="s">
        <v>116</v>
      </c>
      <c r="H438" s="12"/>
      <c r="I438" s="13">
        <v>1</v>
      </c>
      <c r="J438" s="13">
        <v>0</v>
      </c>
      <c r="K438" s="14" t="str">
        <f t="shared" si="153"/>
        <v>Twitter for Android</v>
      </c>
      <c r="L438" s="13">
        <v>1807</v>
      </c>
      <c r="M438" s="13">
        <v>2601</v>
      </c>
      <c r="N438" s="13">
        <v>11</v>
      </c>
      <c r="O438" s="15"/>
      <c r="P438" s="6">
        <v>41780.701782407406</v>
      </c>
      <c r="Q438" s="12"/>
      <c r="R438" s="21"/>
      <c r="S438" s="12"/>
      <c r="T438" s="12"/>
      <c r="U438" s="10" t="str">
        <f>HYPERLINK("https://pbs.twimg.com/profile_images/774235564761616384/v8tceDLo.jpg","View")</f>
        <v>View</v>
      </c>
    </row>
    <row r="439" spans="1:21" ht="71.400000000000006">
      <c r="A439" s="6">
        <v>43424.443020833336</v>
      </c>
      <c r="B439" s="7" t="str">
        <f>HYPERLINK("https://twitter.com/zbarbar70","@zbarbar70")</f>
        <v>@zbarbar70</v>
      </c>
      <c r="C439" s="8" t="s">
        <v>1668</v>
      </c>
      <c r="D439" s="9" t="s">
        <v>1669</v>
      </c>
      <c r="E439" s="10" t="str">
        <f>HYPERLINK("https://twitter.com/zbarbar70/status/1064815099209285632","1064815099209285632")</f>
        <v>1064815099209285632</v>
      </c>
      <c r="F439" s="16" t="s">
        <v>1670</v>
      </c>
      <c r="G439" s="12"/>
      <c r="H439" s="12"/>
      <c r="I439" s="13">
        <v>0</v>
      </c>
      <c r="J439" s="13">
        <v>1</v>
      </c>
      <c r="K439" s="14" t="str">
        <f t="shared" si="153"/>
        <v>Twitter for Android</v>
      </c>
      <c r="L439" s="13">
        <v>133</v>
      </c>
      <c r="M439" s="13">
        <v>422</v>
      </c>
      <c r="N439" s="13">
        <v>0</v>
      </c>
      <c r="O439" s="15"/>
      <c r="P439" s="6">
        <v>42507.970185185186</v>
      </c>
      <c r="Q439" s="16" t="s">
        <v>1671</v>
      </c>
      <c r="R439" s="17" t="s">
        <v>1672</v>
      </c>
      <c r="S439" s="11" t="s">
        <v>1673</v>
      </c>
      <c r="T439" s="12"/>
      <c r="U439" s="10" t="str">
        <f>HYPERLINK("https://pbs.twimg.com/profile_images/1007883089459150848/SnFqm4f4.jpg","View")</f>
        <v>View</v>
      </c>
    </row>
    <row r="440" spans="1:21" ht="40.799999999999997">
      <c r="A440" s="6">
        <v>43424.442500000005</v>
      </c>
      <c r="B440" s="7" t="str">
        <f>HYPERLINK("https://twitter.com/SeoaneKike","@SeoaneKike")</f>
        <v>@SeoaneKike</v>
      </c>
      <c r="C440" s="8" t="s">
        <v>1674</v>
      </c>
      <c r="D440" s="9" t="s">
        <v>1675</v>
      </c>
      <c r="E440" s="10" t="str">
        <f>HYPERLINK("https://twitter.com/SeoaneKike/status/1064814909207257088","1064814909207257088")</f>
        <v>1064814909207257088</v>
      </c>
      <c r="F440" s="12"/>
      <c r="G440" s="11" t="s">
        <v>1676</v>
      </c>
      <c r="H440" s="12"/>
      <c r="I440" s="13">
        <v>0</v>
      </c>
      <c r="J440" s="13">
        <v>0</v>
      </c>
      <c r="K440" s="14" t="str">
        <f t="shared" si="153"/>
        <v>Twitter for Android</v>
      </c>
      <c r="L440" s="13">
        <v>32</v>
      </c>
      <c r="M440" s="13">
        <v>201</v>
      </c>
      <c r="N440" s="13">
        <v>1</v>
      </c>
      <c r="O440" s="15"/>
      <c r="P440" s="6">
        <v>43375.793923611112</v>
      </c>
      <c r="Q440" s="16" t="s">
        <v>1677</v>
      </c>
      <c r="R440" s="17" t="s">
        <v>1678</v>
      </c>
      <c r="S440" s="11" t="s">
        <v>1679</v>
      </c>
      <c r="T440" s="12"/>
      <c r="U440" s="10" t="str">
        <f>HYPERLINK("https://pbs.twimg.com/profile_images/1062588999624257536/CcU6kpoI.jpg","View")</f>
        <v>View</v>
      </c>
    </row>
    <row r="441" spans="1:21" ht="81.599999999999994">
      <c r="A441" s="6">
        <v>43424.430439814816</v>
      </c>
      <c r="B441" s="7" t="str">
        <f>HYPERLINK("https://twitter.com/Antonio29407099","@Antonio29407099")</f>
        <v>@Antonio29407099</v>
      </c>
      <c r="C441" s="8" t="s">
        <v>1371</v>
      </c>
      <c r="D441" s="9" t="s">
        <v>1680</v>
      </c>
      <c r="E441" s="10" t="str">
        <f>HYPERLINK("https://twitter.com/Antonio29407099/status/1064810540751564801","1064810540751564801")</f>
        <v>1064810540751564801</v>
      </c>
      <c r="F441" s="16" t="s">
        <v>1681</v>
      </c>
      <c r="G441" s="12"/>
      <c r="H441" s="12"/>
      <c r="I441" s="13">
        <v>0</v>
      </c>
      <c r="J441" s="13">
        <v>1</v>
      </c>
      <c r="K441" s="14" t="str">
        <f t="shared" ref="K441:K442" si="154">HYPERLINK("http://twitter.com","Twitter Web Client")</f>
        <v>Twitter Web Client</v>
      </c>
      <c r="L441" s="13">
        <v>408</v>
      </c>
      <c r="M441" s="13">
        <v>420</v>
      </c>
      <c r="N441" s="13">
        <v>8</v>
      </c>
      <c r="O441" s="15"/>
      <c r="P441" s="6">
        <v>40986.32503472222</v>
      </c>
      <c r="Q441" s="16" t="s">
        <v>1117</v>
      </c>
      <c r="R441" s="17" t="s">
        <v>1372</v>
      </c>
      <c r="S441" s="12"/>
      <c r="T441" s="12"/>
      <c r="U441" s="10" t="str">
        <f>HYPERLINK("https://pbs.twimg.com/profile_images/1065943948890382336/j9ezRSrk.jpg","View")</f>
        <v>View</v>
      </c>
    </row>
    <row r="442" spans="1:21" ht="30.6">
      <c r="A442" s="6">
        <v>43424.419988425929</v>
      </c>
      <c r="B442" s="7" t="str">
        <f>HYPERLINK("https://twitter.com/CasoAislado_Es","@CasoAislado_Es")</f>
        <v>@CasoAislado_Es</v>
      </c>
      <c r="C442" s="8" t="s">
        <v>530</v>
      </c>
      <c r="D442" s="9" t="s">
        <v>1132</v>
      </c>
      <c r="E442" s="10" t="str">
        <f>HYPERLINK("https://twitter.com/CasoAislado_Es/status/1064806752443662338","1064806752443662338")</f>
        <v>1064806752443662338</v>
      </c>
      <c r="F442" s="11" t="s">
        <v>873</v>
      </c>
      <c r="G442" s="12"/>
      <c r="H442" s="12"/>
      <c r="I442" s="13">
        <v>188</v>
      </c>
      <c r="J442" s="13">
        <v>381</v>
      </c>
      <c r="K442" s="14" t="str">
        <f t="shared" si="154"/>
        <v>Twitter Web Client</v>
      </c>
      <c r="L442" s="13">
        <v>20849</v>
      </c>
      <c r="M442" s="13">
        <v>6396</v>
      </c>
      <c r="N442" s="13">
        <v>145</v>
      </c>
      <c r="O442" s="15"/>
      <c r="P442" s="6">
        <v>40257.560439814813</v>
      </c>
      <c r="Q442" s="16" t="s">
        <v>533</v>
      </c>
      <c r="R442" s="17" t="s">
        <v>534</v>
      </c>
      <c r="S442" s="11" t="s">
        <v>535</v>
      </c>
      <c r="T442" s="12"/>
      <c r="U442" s="10" t="str">
        <f>HYPERLINK("https://pbs.twimg.com/profile_images/818503412702707713/QK1J8CEn.jpg","View")</f>
        <v>View</v>
      </c>
    </row>
    <row r="443" spans="1:21" ht="81.599999999999994">
      <c r="A443" s="6">
        <v>43424.419502314813</v>
      </c>
      <c r="B443" s="7" t="str">
        <f>HYPERLINK("https://twitter.com/lezabrod","@lezabrod")</f>
        <v>@lezabrod</v>
      </c>
      <c r="C443" s="8" t="s">
        <v>1683</v>
      </c>
      <c r="D443" s="9" t="s">
        <v>1684</v>
      </c>
      <c r="E443" s="10" t="str">
        <f>HYPERLINK("https://twitter.com/lezabrod/status/1064806574898769920","1064806574898769920")</f>
        <v>1064806574898769920</v>
      </c>
      <c r="F443" s="11" t="s">
        <v>1685</v>
      </c>
      <c r="G443" s="11" t="s">
        <v>1686</v>
      </c>
      <c r="H443" s="12"/>
      <c r="I443" s="13">
        <v>0</v>
      </c>
      <c r="J443" s="13">
        <v>0</v>
      </c>
      <c r="K443" s="14" t="str">
        <f>HYPERLINK("http://twitter.com/download/iphone","Twitter for iPhone")</f>
        <v>Twitter for iPhone</v>
      </c>
      <c r="L443" s="13">
        <v>1584</v>
      </c>
      <c r="M443" s="13">
        <v>1042</v>
      </c>
      <c r="N443" s="13">
        <v>21</v>
      </c>
      <c r="O443" s="15"/>
      <c r="P443" s="6">
        <v>40822.540763888886</v>
      </c>
      <c r="Q443" s="16" t="s">
        <v>1687</v>
      </c>
      <c r="R443" s="17" t="s">
        <v>1688</v>
      </c>
      <c r="S443" s="11" t="s">
        <v>1689</v>
      </c>
      <c r="T443" s="12"/>
      <c r="U443" s="10" t="str">
        <f>HYPERLINK("https://pbs.twimg.com/profile_images/1001360440788742144/SNJWgqFg.jpg","View")</f>
        <v>View</v>
      </c>
    </row>
    <row r="444" spans="1:21" ht="51">
      <c r="A444" s="6">
        <v>43424.414976851855</v>
      </c>
      <c r="B444" s="7" t="str">
        <f>HYPERLINK("https://twitter.com/MichelAlThani","@MichelAlThani")</f>
        <v>@MichelAlThani</v>
      </c>
      <c r="C444" s="8" t="s">
        <v>1690</v>
      </c>
      <c r="D444" s="9" t="s">
        <v>1691</v>
      </c>
      <c r="E444" s="10" t="str">
        <f>HYPERLINK("https://twitter.com/MichelAlThani/status/1064804936775536641","1064804936775536641")</f>
        <v>1064804936775536641</v>
      </c>
      <c r="F444" s="12"/>
      <c r="G444" s="12"/>
      <c r="H444" s="12"/>
      <c r="I444" s="13">
        <v>0</v>
      </c>
      <c r="J444" s="13">
        <v>0</v>
      </c>
      <c r="K444" s="14" t="str">
        <f>HYPERLINK("http://twitter.com","Twitter Web Client")</f>
        <v>Twitter Web Client</v>
      </c>
      <c r="L444" s="13">
        <v>131</v>
      </c>
      <c r="M444" s="13">
        <v>241</v>
      </c>
      <c r="N444" s="13">
        <v>0</v>
      </c>
      <c r="O444" s="15"/>
      <c r="P444" s="6">
        <v>43061.749930555554</v>
      </c>
      <c r="Q444" s="16" t="s">
        <v>1677</v>
      </c>
      <c r="R444" s="17" t="s">
        <v>1692</v>
      </c>
      <c r="S444" s="11" t="s">
        <v>1693</v>
      </c>
      <c r="T444" s="12"/>
      <c r="U444" s="10" t="str">
        <f>HYPERLINK("https://pbs.twimg.com/profile_images/933381703200051200/a0WsAwS_.jpg","View")</f>
        <v>View</v>
      </c>
    </row>
    <row r="445" spans="1:21" ht="40.799999999999997">
      <c r="A445" s="6">
        <v>43424.405555555553</v>
      </c>
      <c r="B445" s="7" t="str">
        <f>HYPERLINK("https://twitter.com/Santi_ABASCAL","@Santi_ABASCAL")</f>
        <v>@Santi_ABASCAL</v>
      </c>
      <c r="C445" s="8" t="s">
        <v>182</v>
      </c>
      <c r="D445" s="9" t="s">
        <v>1944</v>
      </c>
      <c r="E445" s="10" t="str">
        <f>HYPERLINK("https://twitter.com/Santi_ABASCAL/status/1064801520397496322","1064801520397496322")</f>
        <v>1064801520397496322</v>
      </c>
      <c r="F445" s="11" t="s">
        <v>1945</v>
      </c>
      <c r="G445" s="12"/>
      <c r="H445" s="12"/>
      <c r="I445" s="13">
        <v>2752</v>
      </c>
      <c r="J445" s="13">
        <v>5883</v>
      </c>
      <c r="K445" s="14" t="str">
        <f>HYPERLINK("http://twitter.com/download/android","Twitter for Android")</f>
        <v>Twitter for Android</v>
      </c>
      <c r="L445" s="13">
        <v>117602</v>
      </c>
      <c r="M445" s="13">
        <v>3896</v>
      </c>
      <c r="N445" s="13">
        <v>915</v>
      </c>
      <c r="O445" s="23" t="s">
        <v>186</v>
      </c>
      <c r="P445" s="6">
        <v>40606.716446759259</v>
      </c>
      <c r="Q445" s="16" t="s">
        <v>188</v>
      </c>
      <c r="R445" s="17" t="s">
        <v>189</v>
      </c>
      <c r="S445" s="11" t="s">
        <v>190</v>
      </c>
      <c r="T445" s="12"/>
      <c r="U445" s="10" t="str">
        <f>HYPERLINK("https://pbs.twimg.com/profile_images/1010488787686879232/2CnqYKlD.jpg","View")</f>
        <v>View</v>
      </c>
    </row>
    <row r="446" spans="1:21" ht="51">
      <c r="A446" s="6">
        <v>43424.398298611108</v>
      </c>
      <c r="B446" s="7" t="str">
        <f>HYPERLINK("https://twitter.com/AndresSanchezAg","@AndresSanchezAg")</f>
        <v>@AndresSanchezAg</v>
      </c>
      <c r="C446" s="8" t="s">
        <v>1694</v>
      </c>
      <c r="D446" s="9" t="s">
        <v>1695</v>
      </c>
      <c r="E446" s="10" t="str">
        <f>HYPERLINK("https://twitter.com/AndresSanchezAg/status/1064798893886578689","1064798893886578689")</f>
        <v>1064798893886578689</v>
      </c>
      <c r="F446" s="16" t="s">
        <v>1696</v>
      </c>
      <c r="G446" s="12"/>
      <c r="H446" s="12"/>
      <c r="I446" s="13">
        <v>0</v>
      </c>
      <c r="J446" s="13">
        <v>1</v>
      </c>
      <c r="K446" s="14" t="str">
        <f>HYPERLINK("http://twitter.com/download/iphone","Twitter for iPhone")</f>
        <v>Twitter for iPhone</v>
      </c>
      <c r="L446" s="13">
        <v>32</v>
      </c>
      <c r="M446" s="13">
        <v>67</v>
      </c>
      <c r="N446" s="13">
        <v>1</v>
      </c>
      <c r="O446" s="15"/>
      <c r="P446" s="6">
        <v>43403.558472222227</v>
      </c>
      <c r="Q446" s="16" t="s">
        <v>929</v>
      </c>
      <c r="R446" s="17" t="s">
        <v>1697</v>
      </c>
      <c r="S446" s="12"/>
      <c r="T446" s="12"/>
      <c r="U446" s="10" t="str">
        <f>HYPERLINK("https://pbs.twimg.com/profile_images/1057331332215459840/i6zkUgrm.jpg","View")</f>
        <v>View</v>
      </c>
    </row>
    <row r="447" spans="1:21" ht="51">
      <c r="A447" s="6">
        <v>43424.389293981483</v>
      </c>
      <c r="B447" s="7" t="str">
        <f>HYPERLINK("https://twitter.com/JuanMCastaeda1","@JuanMCastaeda1")</f>
        <v>@JuanMCastaeda1</v>
      </c>
      <c r="C447" s="8" t="s">
        <v>1951</v>
      </c>
      <c r="D447" s="9" t="s">
        <v>1952</v>
      </c>
      <c r="E447" s="10" t="str">
        <f>HYPERLINK("https://twitter.com/JuanMCastaeda1/status/1064795629577216000","1064795629577216000")</f>
        <v>1064795629577216000</v>
      </c>
      <c r="F447" s="16" t="s">
        <v>1953</v>
      </c>
      <c r="G447" s="12"/>
      <c r="H447" s="12"/>
      <c r="I447" s="13">
        <v>0</v>
      </c>
      <c r="J447" s="13">
        <v>0</v>
      </c>
      <c r="K447" s="14" t="str">
        <f t="shared" ref="K447:K448" si="155">HYPERLINK("http://twitter.com/download/android","Twitter for Android")</f>
        <v>Twitter for Android</v>
      </c>
      <c r="L447" s="13">
        <v>186</v>
      </c>
      <c r="M447" s="13">
        <v>160</v>
      </c>
      <c r="N447" s="13">
        <v>2</v>
      </c>
      <c r="O447" s="15"/>
      <c r="P447" s="6">
        <v>42804.021932870368</v>
      </c>
      <c r="Q447" s="12"/>
      <c r="R447" s="17" t="s">
        <v>1954</v>
      </c>
      <c r="S447" s="12"/>
      <c r="T447" s="12"/>
      <c r="U447" s="10" t="str">
        <f>HYPERLINK("https://pbs.twimg.com/profile_images/1053001333794635777/II5l_BFm.jpg","View")</f>
        <v>View</v>
      </c>
    </row>
    <row r="448" spans="1:21" ht="40.799999999999997">
      <c r="A448" s="6">
        <v>43424.38853009259</v>
      </c>
      <c r="B448" s="7" t="str">
        <f>HYPERLINK("https://twitter.com/jmcolmenero","@jmcolmenero")</f>
        <v>@jmcolmenero</v>
      </c>
      <c r="C448" s="8" t="s">
        <v>1698</v>
      </c>
      <c r="D448" s="9" t="s">
        <v>1699</v>
      </c>
      <c r="E448" s="10" t="str">
        <f>HYPERLINK("https://twitter.com/jmcolmenero/status/1064795353730433024","1064795353730433024")</f>
        <v>1064795353730433024</v>
      </c>
      <c r="F448" s="11" t="s">
        <v>1700</v>
      </c>
      <c r="G448" s="11" t="s">
        <v>1701</v>
      </c>
      <c r="H448" s="12"/>
      <c r="I448" s="13">
        <v>0</v>
      </c>
      <c r="J448" s="13">
        <v>0</v>
      </c>
      <c r="K448" s="14" t="str">
        <f t="shared" si="155"/>
        <v>Twitter for Android</v>
      </c>
      <c r="L448" s="13">
        <v>1238</v>
      </c>
      <c r="M448" s="13">
        <v>1030</v>
      </c>
      <c r="N448" s="13">
        <v>34</v>
      </c>
      <c r="O448" s="15"/>
      <c r="P448" s="6">
        <v>40776.843449074076</v>
      </c>
      <c r="Q448" s="12"/>
      <c r="R448" s="17" t="s">
        <v>1702</v>
      </c>
      <c r="S448" s="12"/>
      <c r="T448" s="12"/>
      <c r="U448" s="10" t="str">
        <f>HYPERLINK("https://pbs.twimg.com/profile_images/799963064368066560/xoEdB8Pz.jpg","View")</f>
        <v>View</v>
      </c>
    </row>
    <row r="449" spans="1:21" ht="61.2">
      <c r="A449" s="6">
        <v>43424.371550925927</v>
      </c>
      <c r="B449" s="7" t="str">
        <f>HYPERLINK("https://twitter.com/pakaletes","@pakaletes")</f>
        <v>@pakaletes</v>
      </c>
      <c r="C449" s="8" t="s">
        <v>1110</v>
      </c>
      <c r="D449" s="9" t="s">
        <v>1703</v>
      </c>
      <c r="E449" s="10" t="str">
        <f>HYPERLINK("https://twitter.com/pakaletes/status/1064789199084298240","1064789199084298240")</f>
        <v>1064789199084298240</v>
      </c>
      <c r="F449" s="12"/>
      <c r="G449" s="12"/>
      <c r="H449" s="12"/>
      <c r="I449" s="13">
        <v>0</v>
      </c>
      <c r="J449" s="13">
        <v>0</v>
      </c>
      <c r="K449" s="14" t="str">
        <f t="shared" ref="K449:K451" si="156">HYPERLINK("http://twitter.com","Twitter Web Client")</f>
        <v>Twitter Web Client</v>
      </c>
      <c r="L449" s="13">
        <v>389</v>
      </c>
      <c r="M449" s="13">
        <v>1174</v>
      </c>
      <c r="N449" s="13">
        <v>2</v>
      </c>
      <c r="O449" s="15"/>
      <c r="P449" s="6">
        <v>40461.966527777782</v>
      </c>
      <c r="Q449" s="16" t="s">
        <v>1113</v>
      </c>
      <c r="R449" s="21"/>
      <c r="S449" s="11" t="s">
        <v>1114</v>
      </c>
      <c r="T449" s="12"/>
      <c r="U449" s="10" t="str">
        <f>HYPERLINK("https://pbs.twimg.com/profile_images/875095547060920321/keUgmUaK.jpg","View")</f>
        <v>View</v>
      </c>
    </row>
    <row r="450" spans="1:21" ht="61.2">
      <c r="A450" s="6">
        <v>43424.33222222222</v>
      </c>
      <c r="B450" s="7" t="str">
        <f>HYPERLINK("https://twitter.com/Julian__Lara","@Julian__Lara")</f>
        <v>@Julian__Lara</v>
      </c>
      <c r="C450" s="8" t="s">
        <v>1704</v>
      </c>
      <c r="D450" s="9" t="s">
        <v>1705</v>
      </c>
      <c r="E450" s="10" t="str">
        <f>HYPERLINK("https://twitter.com/Julian__Lara/status/1064774948151939072","1064774948151939072")</f>
        <v>1064774948151939072</v>
      </c>
      <c r="F450" s="16" t="s">
        <v>1706</v>
      </c>
      <c r="G450" s="12"/>
      <c r="H450" s="12"/>
      <c r="I450" s="13">
        <v>130</v>
      </c>
      <c r="J450" s="13">
        <v>353</v>
      </c>
      <c r="K450" s="14" t="str">
        <f t="shared" si="156"/>
        <v>Twitter Web Client</v>
      </c>
      <c r="L450" s="13">
        <v>2184</v>
      </c>
      <c r="M450" s="13">
        <v>16</v>
      </c>
      <c r="N450" s="13">
        <v>50</v>
      </c>
      <c r="O450" s="23" t="s">
        <v>186</v>
      </c>
      <c r="P450" s="6">
        <v>40183.173043981486</v>
      </c>
      <c r="Q450" s="16" t="s">
        <v>1707</v>
      </c>
      <c r="R450" s="17" t="s">
        <v>1708</v>
      </c>
      <c r="S450" s="11" t="s">
        <v>1709</v>
      </c>
      <c r="T450" s="12"/>
      <c r="U450" s="10" t="str">
        <f>HYPERLINK("https://pbs.twimg.com/profile_images/556985479191465984/SwaQIWG8.jpeg","View")</f>
        <v>View</v>
      </c>
    </row>
    <row r="451" spans="1:21" ht="61.2">
      <c r="A451" s="6">
        <v>43424.292476851857</v>
      </c>
      <c r="B451" s="7" t="str">
        <f>HYPERLINK("https://twitter.com/Antonio29407099","@Antonio29407099")</f>
        <v>@Antonio29407099</v>
      </c>
      <c r="C451" s="8" t="s">
        <v>1371</v>
      </c>
      <c r="D451" s="9" t="s">
        <v>1964</v>
      </c>
      <c r="E451" s="10" t="str">
        <f>HYPERLINK("https://twitter.com/Antonio29407099/status/1064760545432268800","1064760545432268800")</f>
        <v>1064760545432268800</v>
      </c>
      <c r="F451" s="16" t="s">
        <v>1966</v>
      </c>
      <c r="G451" s="12"/>
      <c r="H451" s="12"/>
      <c r="I451" s="13">
        <v>0</v>
      </c>
      <c r="J451" s="13">
        <v>1</v>
      </c>
      <c r="K451" s="14" t="str">
        <f t="shared" si="156"/>
        <v>Twitter Web Client</v>
      </c>
      <c r="L451" s="13">
        <v>408</v>
      </c>
      <c r="M451" s="13">
        <v>420</v>
      </c>
      <c r="N451" s="13">
        <v>8</v>
      </c>
      <c r="O451" s="15"/>
      <c r="P451" s="6">
        <v>40986.32503472222</v>
      </c>
      <c r="Q451" s="16" t="s">
        <v>1117</v>
      </c>
      <c r="R451" s="17" t="s">
        <v>1372</v>
      </c>
      <c r="S451" s="12"/>
      <c r="T451" s="12"/>
      <c r="U451" s="10" t="str">
        <f>HYPERLINK("https://pbs.twimg.com/profile_images/1065943948890382336/j9ezRSrk.jpg","View")</f>
        <v>View</v>
      </c>
    </row>
    <row r="452" spans="1:21" ht="20.399999999999999">
      <c r="A452" s="6">
        <v>43424.288217592592</v>
      </c>
      <c r="B452" s="7" t="str">
        <f>HYPERLINK("https://twitter.com/weask_","@weask_")</f>
        <v>@weask_</v>
      </c>
      <c r="C452" s="8" t="s">
        <v>1967</v>
      </c>
      <c r="D452" s="9" t="s">
        <v>1968</v>
      </c>
      <c r="E452" s="10" t="str">
        <f>HYPERLINK("https://twitter.com/weask_/status/1064758997822132224","1064758997822132224")</f>
        <v>1064758997822132224</v>
      </c>
      <c r="F452" s="12"/>
      <c r="G452" s="12"/>
      <c r="H452" s="12"/>
      <c r="I452" s="13">
        <v>0</v>
      </c>
      <c r="J452" s="13">
        <v>5</v>
      </c>
      <c r="K452" s="14" t="str">
        <f>HYPERLINK("http://twitter.com/download/android","Twitter for Android")</f>
        <v>Twitter for Android</v>
      </c>
      <c r="L452" s="13">
        <v>192</v>
      </c>
      <c r="M452" s="13">
        <v>195</v>
      </c>
      <c r="N452" s="13">
        <v>0</v>
      </c>
      <c r="O452" s="15"/>
      <c r="P452" s="6">
        <v>41952.890752314815</v>
      </c>
      <c r="Q452" s="16" t="s">
        <v>1970</v>
      </c>
      <c r="R452" s="17" t="s">
        <v>1971</v>
      </c>
      <c r="S452" s="11" t="s">
        <v>1972</v>
      </c>
      <c r="T452" s="12"/>
      <c r="U452" s="10" t="str">
        <f>HYPERLINK("https://pbs.twimg.com/profile_images/1060633787078492169/Ls6Zbdqj.jpg","View")</f>
        <v>View</v>
      </c>
    </row>
    <row r="453" spans="1:21" ht="71.400000000000006">
      <c r="A453" s="6">
        <v>43424.237476851849</v>
      </c>
      <c r="B453" s="7" t="str">
        <f>HYPERLINK("https://twitter.com/DoctoraStalin","@DoctoraStalin")</f>
        <v>@DoctoraStalin</v>
      </c>
      <c r="C453" s="8" t="s">
        <v>1710</v>
      </c>
      <c r="D453" s="9" t="s">
        <v>1711</v>
      </c>
      <c r="E453" s="10" t="str">
        <f>HYPERLINK("https://twitter.com/DoctoraStalin/status/1064740613969637376","1064740613969637376")</f>
        <v>1064740613969637376</v>
      </c>
      <c r="F453" s="11" t="s">
        <v>1712</v>
      </c>
      <c r="G453" s="11" t="s">
        <v>1713</v>
      </c>
      <c r="H453" s="12"/>
      <c r="I453" s="13">
        <v>0</v>
      </c>
      <c r="J453" s="13">
        <v>1</v>
      </c>
      <c r="K453" s="14" t="str">
        <f t="shared" ref="K453:K454" si="157">HYPERLINK("http://twitter.com","Twitter Web Client")</f>
        <v>Twitter Web Client</v>
      </c>
      <c r="L453" s="13">
        <v>207</v>
      </c>
      <c r="M453" s="13">
        <v>1015</v>
      </c>
      <c r="N453" s="13">
        <v>2</v>
      </c>
      <c r="O453" s="15"/>
      <c r="P453" s="6">
        <v>42897.761412037042</v>
      </c>
      <c r="Q453" s="12"/>
      <c r="R453" s="17" t="s">
        <v>1714</v>
      </c>
      <c r="S453" s="12"/>
      <c r="T453" s="12"/>
      <c r="U453" s="10" t="str">
        <f>HYPERLINK("https://pbs.twimg.com/profile_images/1036669310083760129/2qIdm2PE.jpg","View")</f>
        <v>View</v>
      </c>
    </row>
    <row r="454" spans="1:21" ht="51">
      <c r="A454" s="6">
        <v>43424.105937500004</v>
      </c>
      <c r="B454" s="7" t="str">
        <f>HYPERLINK("https://twitter.com/Joseda307","@Joseda307")</f>
        <v>@Joseda307</v>
      </c>
      <c r="C454" s="8" t="s">
        <v>1629</v>
      </c>
      <c r="D454" s="9" t="s">
        <v>1715</v>
      </c>
      <c r="E454" s="10" t="str">
        <f>HYPERLINK("https://twitter.com/Joseda307/status/1064692945557704704","1064692945557704704")</f>
        <v>1064692945557704704</v>
      </c>
      <c r="F454" s="12"/>
      <c r="G454" s="11" t="s">
        <v>1717</v>
      </c>
      <c r="H454" s="12"/>
      <c r="I454" s="13">
        <v>2</v>
      </c>
      <c r="J454" s="13">
        <v>3</v>
      </c>
      <c r="K454" s="14" t="str">
        <f t="shared" si="157"/>
        <v>Twitter Web Client</v>
      </c>
      <c r="L454" s="13">
        <v>83</v>
      </c>
      <c r="M454" s="13">
        <v>148</v>
      </c>
      <c r="N454" s="13">
        <v>1</v>
      </c>
      <c r="O454" s="15"/>
      <c r="P454" s="6">
        <v>43340.930335648147</v>
      </c>
      <c r="Q454" s="16" t="s">
        <v>1718</v>
      </c>
      <c r="R454" s="17" t="s">
        <v>1719</v>
      </c>
      <c r="S454" s="12"/>
      <c r="T454" s="12"/>
      <c r="U454" s="10" t="str">
        <f>HYPERLINK("https://pbs.twimg.com/profile_images/1038561566117916675/iv52c4kC.jpg","View")</f>
        <v>View</v>
      </c>
    </row>
    <row r="455" spans="1:21" ht="20.399999999999999">
      <c r="A455" s="6">
        <v>43424.10465277778</v>
      </c>
      <c r="B455" s="7" t="str">
        <f>HYPERLINK("https://twitter.com/Jardiner_","@Jardiner_")</f>
        <v>@Jardiner_</v>
      </c>
      <c r="C455" s="8" t="s">
        <v>334</v>
      </c>
      <c r="D455" s="9" t="s">
        <v>1720</v>
      </c>
      <c r="E455" s="10" t="str">
        <f>HYPERLINK("https://twitter.com/Jardiner_/status/1064692476521385985","1064692476521385985")</f>
        <v>1064692476521385985</v>
      </c>
      <c r="F455" s="12"/>
      <c r="G455" s="12"/>
      <c r="H455" s="12"/>
      <c r="I455" s="13">
        <v>1</v>
      </c>
      <c r="J455" s="13">
        <v>3</v>
      </c>
      <c r="K455" s="14" t="str">
        <f t="shared" ref="K455:K458" si="158">HYPERLINK("http://twitter.com/download/android","Twitter for Android")</f>
        <v>Twitter for Android</v>
      </c>
      <c r="L455" s="13">
        <v>9273</v>
      </c>
      <c r="M455" s="13">
        <v>406</v>
      </c>
      <c r="N455" s="13">
        <v>106</v>
      </c>
      <c r="O455" s="15"/>
      <c r="P455" s="6">
        <v>41676.696099537039</v>
      </c>
      <c r="Q455" s="16" t="s">
        <v>336</v>
      </c>
      <c r="R455" s="17" t="s">
        <v>337</v>
      </c>
      <c r="S455" s="12"/>
      <c r="T455" s="12"/>
      <c r="U455" s="10" t="str">
        <f>HYPERLINK("https://pbs.twimg.com/profile_images/1056488150925787136/N7j0Y8mC.jpg","View")</f>
        <v>View</v>
      </c>
    </row>
    <row r="456" spans="1:21" ht="20.399999999999999">
      <c r="A456" s="6">
        <v>43424.07335648148</v>
      </c>
      <c r="B456" s="7" t="str">
        <f>HYPERLINK("https://twitter.com/lunadebenidorm","@lunadebenidorm")</f>
        <v>@lunadebenidorm</v>
      </c>
      <c r="C456" s="8" t="s">
        <v>106</v>
      </c>
      <c r="D456" s="9" t="s">
        <v>1721</v>
      </c>
      <c r="E456" s="10" t="str">
        <f>HYPERLINK("https://twitter.com/lunadebenidorm/status/1064681137954611201","1064681137954611201")</f>
        <v>1064681137954611201</v>
      </c>
      <c r="F456" s="12"/>
      <c r="G456" s="11" t="s">
        <v>1722</v>
      </c>
      <c r="H456" s="12"/>
      <c r="I456" s="13">
        <v>0</v>
      </c>
      <c r="J456" s="13">
        <v>0</v>
      </c>
      <c r="K456" s="14" t="str">
        <f t="shared" si="158"/>
        <v>Twitter for Android</v>
      </c>
      <c r="L456" s="13">
        <v>3991</v>
      </c>
      <c r="M456" s="13">
        <v>3978</v>
      </c>
      <c r="N456" s="13">
        <v>79</v>
      </c>
      <c r="O456" s="15"/>
      <c r="P456" s="6">
        <v>41461.81186342593</v>
      </c>
      <c r="Q456" s="12"/>
      <c r="R456" s="17" t="s">
        <v>108</v>
      </c>
      <c r="S456" s="12"/>
      <c r="T456" s="12"/>
      <c r="U456" s="10" t="str">
        <f>HYPERLINK("https://pbs.twimg.com/profile_images/1061229593758257153/rePCQt08.jpg","View")</f>
        <v>View</v>
      </c>
    </row>
    <row r="457" spans="1:21" ht="40.799999999999997">
      <c r="A457" s="6">
        <v>43424.041724537034</v>
      </c>
      <c r="B457" s="7" t="str">
        <f>HYPERLINK("https://twitter.com/airamsoler1","@airamsoler1")</f>
        <v>@airamsoler1</v>
      </c>
      <c r="C457" s="8" t="s">
        <v>1981</v>
      </c>
      <c r="D457" s="9" t="s">
        <v>1982</v>
      </c>
      <c r="E457" s="10" t="str">
        <f>HYPERLINK("https://twitter.com/airamsoler1/status/1064669672300269568","1064669672300269568")</f>
        <v>1064669672300269568</v>
      </c>
      <c r="F457" s="12"/>
      <c r="G457" s="12"/>
      <c r="H457" s="12"/>
      <c r="I457" s="13">
        <v>0</v>
      </c>
      <c r="J457" s="13">
        <v>0</v>
      </c>
      <c r="K457" s="14" t="str">
        <f t="shared" si="158"/>
        <v>Twitter for Android</v>
      </c>
      <c r="L457" s="13">
        <v>138</v>
      </c>
      <c r="M457" s="13">
        <v>167</v>
      </c>
      <c r="N457" s="13">
        <v>1</v>
      </c>
      <c r="O457" s="15"/>
      <c r="P457" s="6">
        <v>41757.779953703706</v>
      </c>
      <c r="Q457" s="12"/>
      <c r="R457" s="17" t="s">
        <v>1984</v>
      </c>
      <c r="S457" s="12"/>
      <c r="T457" s="12"/>
      <c r="U457" s="10" t="str">
        <f>HYPERLINK("https://pbs.twimg.com/profile_images/1031890837955923968/AfiMLlzy.jpg","View")</f>
        <v>View</v>
      </c>
    </row>
    <row r="458" spans="1:21" ht="51">
      <c r="A458" s="6">
        <v>43424.024224537032</v>
      </c>
      <c r="B458" s="7" t="str">
        <f>HYPERLINK("https://twitter.com/Juampa93__","@Juampa93__")</f>
        <v>@Juampa93__</v>
      </c>
      <c r="C458" s="8" t="s">
        <v>1723</v>
      </c>
      <c r="D458" s="9" t="s">
        <v>1724</v>
      </c>
      <c r="E458" s="10" t="str">
        <f>HYPERLINK("https://twitter.com/Juampa93__/status/1064663331867381760","1064663331867381760")</f>
        <v>1064663331867381760</v>
      </c>
      <c r="F458" s="16" t="s">
        <v>1725</v>
      </c>
      <c r="G458" s="12"/>
      <c r="H458" s="12"/>
      <c r="I458" s="13">
        <v>0</v>
      </c>
      <c r="J458" s="13">
        <v>0</v>
      </c>
      <c r="K458" s="14" t="str">
        <f t="shared" si="158"/>
        <v>Twitter for Android</v>
      </c>
      <c r="L458" s="13">
        <v>144</v>
      </c>
      <c r="M458" s="13">
        <v>136</v>
      </c>
      <c r="N458" s="13">
        <v>1</v>
      </c>
      <c r="O458" s="15"/>
      <c r="P458" s="6">
        <v>43420.577881944446</v>
      </c>
      <c r="Q458" s="16" t="s">
        <v>1726</v>
      </c>
      <c r="R458" s="17" t="s">
        <v>1727</v>
      </c>
      <c r="S458" s="12"/>
      <c r="T458" s="12"/>
      <c r="U458" s="10" t="str">
        <f>HYPERLINK("https://pbs.twimg.com/profile_images/1063416968563310593/D7UxAEWt.jpg","View")</f>
        <v>View</v>
      </c>
    </row>
    <row r="459" spans="1:21" ht="51">
      <c r="A459" s="6">
        <v>43424.02342592593</v>
      </c>
      <c r="B459" s="7" t="str">
        <f>HYPERLINK("https://twitter.com/Huelva_Vox","@Huelva_Vox")</f>
        <v>@Huelva_Vox</v>
      </c>
      <c r="C459" s="8" t="s">
        <v>318</v>
      </c>
      <c r="D459" s="9" t="s">
        <v>1728</v>
      </c>
      <c r="E459" s="10" t="str">
        <f>HYPERLINK("https://twitter.com/Huelva_Vox/status/1064663043697721344","1064663043697721344")</f>
        <v>1064663043697721344</v>
      </c>
      <c r="F459" s="12"/>
      <c r="G459" s="11" t="s">
        <v>1729</v>
      </c>
      <c r="H459" s="12"/>
      <c r="I459" s="13">
        <v>24</v>
      </c>
      <c r="J459" s="13">
        <v>44</v>
      </c>
      <c r="K459" s="14" t="str">
        <f>HYPERLINK("http://twitter.com","Twitter Web Client")</f>
        <v>Twitter Web Client</v>
      </c>
      <c r="L459" s="13">
        <v>1528</v>
      </c>
      <c r="M459" s="13">
        <v>1163</v>
      </c>
      <c r="N459" s="13">
        <v>13</v>
      </c>
      <c r="O459" s="15"/>
      <c r="P459" s="6">
        <v>42004.585358796292</v>
      </c>
      <c r="Q459" s="16" t="s">
        <v>321</v>
      </c>
      <c r="R459" s="17" t="s">
        <v>322</v>
      </c>
      <c r="S459" s="11" t="s">
        <v>323</v>
      </c>
      <c r="T459" s="12"/>
      <c r="U459" s="10" t="str">
        <f>HYPERLINK("https://pbs.twimg.com/profile_images/550280440079081473/xbtjUPQo.png","View")</f>
        <v>View</v>
      </c>
    </row>
    <row r="460" spans="1:21" ht="30.6">
      <c r="A460" s="6">
        <v>43424.014131944445</v>
      </c>
      <c r="B460" s="7" t="str">
        <f>HYPERLINK("https://twitter.com/iSemperLiber","@iSemperLiber")</f>
        <v>@iSemperLiber</v>
      </c>
      <c r="C460" s="8" t="s">
        <v>1730</v>
      </c>
      <c r="D460" s="9" t="s">
        <v>1731</v>
      </c>
      <c r="E460" s="10" t="str">
        <f>HYPERLINK("https://twitter.com/iSemperLiber/status/1064659674899931136","1064659674899931136")</f>
        <v>1064659674899931136</v>
      </c>
      <c r="F460" s="12"/>
      <c r="G460" s="11" t="s">
        <v>1732</v>
      </c>
      <c r="H460" s="12"/>
      <c r="I460" s="13">
        <v>1</v>
      </c>
      <c r="J460" s="13">
        <v>2</v>
      </c>
      <c r="K460" s="14" t="str">
        <f>HYPERLINK("http://twitter.com/download/android","Twitter for Android")</f>
        <v>Twitter for Android</v>
      </c>
      <c r="L460" s="13">
        <v>5815</v>
      </c>
      <c r="M460" s="13">
        <v>479</v>
      </c>
      <c r="N460" s="13">
        <v>94</v>
      </c>
      <c r="O460" s="15"/>
      <c r="P460" s="6">
        <v>42372.423043981486</v>
      </c>
      <c r="Q460" s="16" t="s">
        <v>953</v>
      </c>
      <c r="R460" s="17" t="s">
        <v>1733</v>
      </c>
      <c r="S460" s="11" t="s">
        <v>1734</v>
      </c>
      <c r="T460" s="12"/>
      <c r="U460" s="10" t="str">
        <f>HYPERLINK("https://pbs.twimg.com/profile_images/1011968592953430016/rzOJ87gt.jpg","View")</f>
        <v>View</v>
      </c>
    </row>
    <row r="461" spans="1:21" ht="30.6">
      <c r="A461" s="6">
        <v>43424.006666666668</v>
      </c>
      <c r="B461" s="7" t="str">
        <f>HYPERLINK("https://twitter.com/jmsalvade","@jmsalvade")</f>
        <v>@jmsalvade</v>
      </c>
      <c r="C461" s="8" t="s">
        <v>611</v>
      </c>
      <c r="D461" s="9" t="s">
        <v>1735</v>
      </c>
      <c r="E461" s="10" t="str">
        <f>HYPERLINK("https://twitter.com/jmsalvade/status/1064656969200480256","1064656969200480256")</f>
        <v>1064656969200480256</v>
      </c>
      <c r="F461" s="11" t="s">
        <v>1736</v>
      </c>
      <c r="G461" s="12"/>
      <c r="H461" s="12"/>
      <c r="I461" s="13">
        <v>0</v>
      </c>
      <c r="J461" s="13">
        <v>0</v>
      </c>
      <c r="K461" s="14" t="str">
        <f>HYPERLINK("http://twitter.com/download/iphone","Twitter for iPhone")</f>
        <v>Twitter for iPhone</v>
      </c>
      <c r="L461" s="13">
        <v>361</v>
      </c>
      <c r="M461" s="13">
        <v>693</v>
      </c>
      <c r="N461" s="13">
        <v>15</v>
      </c>
      <c r="O461" s="15"/>
      <c r="P461" s="6">
        <v>41260.869745370372</v>
      </c>
      <c r="Q461" s="12"/>
      <c r="R461" s="17" t="s">
        <v>615</v>
      </c>
      <c r="S461" s="11" t="s">
        <v>616</v>
      </c>
      <c r="T461" s="12"/>
      <c r="U461" s="10" t="str">
        <f>HYPERLINK("https://pbs.twimg.com/profile_images/455739214663917568/tdXuqCOx.jpeg","View")</f>
        <v>View</v>
      </c>
    </row>
    <row r="462" spans="1:21" ht="20.399999999999999">
      <c r="A462" s="6">
        <v>43424.005729166667</v>
      </c>
      <c r="B462" s="7" t="str">
        <f>HYPERLINK("https://twitter.com/Santi_ABASCAL","@Santi_ABASCAL")</f>
        <v>@Santi_ABASCAL</v>
      </c>
      <c r="C462" s="8" t="s">
        <v>182</v>
      </c>
      <c r="D462" s="9" t="s">
        <v>2000</v>
      </c>
      <c r="E462" s="10" t="str">
        <f>HYPERLINK("https://twitter.com/Santi_ABASCAL/status/1064656631424843776","1064656631424843776")</f>
        <v>1064656631424843776</v>
      </c>
      <c r="F462" s="12"/>
      <c r="G462" s="11" t="s">
        <v>1524</v>
      </c>
      <c r="H462" s="12"/>
      <c r="I462" s="13">
        <v>394</v>
      </c>
      <c r="J462" s="13">
        <v>721</v>
      </c>
      <c r="K462" s="14" t="str">
        <f>HYPERLINK("http://twitter.com/download/android","Twitter for Android")</f>
        <v>Twitter for Android</v>
      </c>
      <c r="L462" s="13">
        <v>117602</v>
      </c>
      <c r="M462" s="13">
        <v>3896</v>
      </c>
      <c r="N462" s="13">
        <v>915</v>
      </c>
      <c r="O462" s="23" t="s">
        <v>186</v>
      </c>
      <c r="P462" s="6">
        <v>40606.716446759259</v>
      </c>
      <c r="Q462" s="16" t="s">
        <v>188</v>
      </c>
      <c r="R462" s="17" t="s">
        <v>189</v>
      </c>
      <c r="S462" s="11" t="s">
        <v>190</v>
      </c>
      <c r="T462" s="12"/>
      <c r="U462" s="10" t="str">
        <f>HYPERLINK("https://pbs.twimg.com/profile_images/1010488787686879232/2CnqYKlD.jpg","View")</f>
        <v>View</v>
      </c>
    </row>
    <row r="463" spans="1:21" ht="20.399999999999999">
      <c r="A463" s="6">
        <v>43424.000555555554</v>
      </c>
      <c r="B463" s="7" t="str">
        <f>HYPERLINK("https://twitter.com/Jimina_Sabadu","@Jimina_Sabadu")</f>
        <v>@Jimina_Sabadu</v>
      </c>
      <c r="C463" s="8" t="s">
        <v>2003</v>
      </c>
      <c r="D463" s="9" t="s">
        <v>2004</v>
      </c>
      <c r="E463" s="10" t="str">
        <f>HYPERLINK("https://twitter.com/Jimina_Sabadu/status/1064654756436684801","1064654756436684801")</f>
        <v>1064654756436684801</v>
      </c>
      <c r="F463" s="12"/>
      <c r="G463" s="11" t="s">
        <v>2005</v>
      </c>
      <c r="H463" s="12"/>
      <c r="I463" s="13">
        <v>0</v>
      </c>
      <c r="J463" s="13">
        <v>2</v>
      </c>
      <c r="K463" s="14" t="str">
        <f>HYPERLINK("http://twitter.com/download/iphone","Twitter for iPhone")</f>
        <v>Twitter for iPhone</v>
      </c>
      <c r="L463" s="13">
        <v>3487</v>
      </c>
      <c r="M463" s="13">
        <v>1409</v>
      </c>
      <c r="N463" s="13">
        <v>72</v>
      </c>
      <c r="O463" s="15"/>
      <c r="P463" s="6">
        <v>39153.153877314813</v>
      </c>
      <c r="Q463" s="16" t="s">
        <v>698</v>
      </c>
      <c r="R463" s="17" t="s">
        <v>2006</v>
      </c>
      <c r="S463" s="11" t="s">
        <v>2008</v>
      </c>
      <c r="T463" s="12"/>
      <c r="U463" s="10" t="str">
        <f>HYPERLINK("https://pbs.twimg.com/profile_images/1060963794514526210/bY8UYIgJ.jpg","View")</f>
        <v>View</v>
      </c>
    </row>
    <row r="464" spans="1:21" ht="40.799999999999997">
      <c r="A464" s="6">
        <v>43423.998402777783</v>
      </c>
      <c r="B464" s="7" t="str">
        <f>HYPERLINK("https://twitter.com/vox_es","@vox_es")</f>
        <v>@vox_es</v>
      </c>
      <c r="C464" s="8" t="s">
        <v>689</v>
      </c>
      <c r="D464" s="9" t="s">
        <v>1737</v>
      </c>
      <c r="E464" s="10" t="str">
        <f>HYPERLINK("https://twitter.com/vox_es/status/1064653974597484549","1064653974597484549")</f>
        <v>1064653974597484549</v>
      </c>
      <c r="F464" s="11" t="s">
        <v>1738</v>
      </c>
      <c r="G464" s="12"/>
      <c r="H464" s="12"/>
      <c r="I464" s="13">
        <v>725</v>
      </c>
      <c r="J464" s="13">
        <v>1407</v>
      </c>
      <c r="K464" s="14" t="str">
        <f t="shared" ref="K464:K466" si="159">HYPERLINK("http://twitter.com/download/android","Twitter for Android")</f>
        <v>Twitter for Android</v>
      </c>
      <c r="L464" s="13">
        <v>122548</v>
      </c>
      <c r="M464" s="13">
        <v>915</v>
      </c>
      <c r="N464" s="13">
        <v>919</v>
      </c>
      <c r="O464" s="23" t="s">
        <v>186</v>
      </c>
      <c r="P464" s="6">
        <v>41596.746655092589</v>
      </c>
      <c r="Q464" s="12"/>
      <c r="R464" s="17" t="s">
        <v>694</v>
      </c>
      <c r="S464" s="11" t="s">
        <v>187</v>
      </c>
      <c r="T464" s="12"/>
      <c r="U464" s="10" t="str">
        <f>HYPERLINK("https://pbs.twimg.com/profile_images/1016653788617363456/m3b3jqW5.jpg","View")</f>
        <v>View</v>
      </c>
    </row>
    <row r="465" spans="1:21" ht="13.2">
      <c r="A465" s="6">
        <v>43423.991643518515</v>
      </c>
      <c r="B465" s="7" t="str">
        <f>HYPERLINK("https://twitter.com/lunadebenidorm","@lunadebenidorm")</f>
        <v>@lunadebenidorm</v>
      </c>
      <c r="C465" s="8" t="s">
        <v>106</v>
      </c>
      <c r="D465" s="9" t="s">
        <v>1740</v>
      </c>
      <c r="E465" s="10" t="str">
        <f>HYPERLINK("https://twitter.com/lunadebenidorm/status/1064651526352842752","1064651526352842752")</f>
        <v>1064651526352842752</v>
      </c>
      <c r="F465" s="12"/>
      <c r="G465" s="11" t="s">
        <v>1741</v>
      </c>
      <c r="H465" s="12"/>
      <c r="I465" s="13">
        <v>1</v>
      </c>
      <c r="J465" s="13">
        <v>0</v>
      </c>
      <c r="K465" s="14" t="str">
        <f t="shared" si="159"/>
        <v>Twitter for Android</v>
      </c>
      <c r="L465" s="13">
        <v>3991</v>
      </c>
      <c r="M465" s="13">
        <v>3978</v>
      </c>
      <c r="N465" s="13">
        <v>79</v>
      </c>
      <c r="O465" s="15"/>
      <c r="P465" s="6">
        <v>41461.81186342593</v>
      </c>
      <c r="Q465" s="12"/>
      <c r="R465" s="17" t="s">
        <v>108</v>
      </c>
      <c r="S465" s="12"/>
      <c r="T465" s="12"/>
      <c r="U465" s="10" t="str">
        <f>HYPERLINK("https://pbs.twimg.com/profile_images/1061229593758257153/rePCQt08.jpg","View")</f>
        <v>View</v>
      </c>
    </row>
    <row r="466" spans="1:21" ht="40.799999999999997">
      <c r="A466" s="6">
        <v>43423.983506944445</v>
      </c>
      <c r="B466" s="7" t="str">
        <f>HYPERLINK("https://twitter.com/ERDEJEREZ","@ERDEJEREZ")</f>
        <v>@ERDEJEREZ</v>
      </c>
      <c r="C466" s="8" t="s">
        <v>188</v>
      </c>
      <c r="D466" s="9" t="s">
        <v>1742</v>
      </c>
      <c r="E466" s="10" t="str">
        <f>HYPERLINK("https://twitter.com/ERDEJEREZ/status/1064648578466017280","1064648578466017280")</f>
        <v>1064648578466017280</v>
      </c>
      <c r="F466" s="12"/>
      <c r="G466" s="12"/>
      <c r="H466" s="12"/>
      <c r="I466" s="13">
        <v>0</v>
      </c>
      <c r="J466" s="13">
        <v>0</v>
      </c>
      <c r="K466" s="14" t="str">
        <f t="shared" si="159"/>
        <v>Twitter for Android</v>
      </c>
      <c r="L466" s="13">
        <v>150</v>
      </c>
      <c r="M466" s="13">
        <v>142</v>
      </c>
      <c r="N466" s="13">
        <v>1</v>
      </c>
      <c r="O466" s="15"/>
      <c r="P466" s="6">
        <v>40356.838599537034</v>
      </c>
      <c r="Q466" s="12"/>
      <c r="R466" s="17" t="s">
        <v>1058</v>
      </c>
      <c r="S466" s="12"/>
      <c r="T466" s="12"/>
      <c r="U466" s="10" t="str">
        <f>HYPERLINK("https://pbs.twimg.com/profile_images/1025909586568663040/b6IHq4Xi.jpg","View")</f>
        <v>View</v>
      </c>
    </row>
    <row r="467" spans="1:21" ht="30.6">
      <c r="A467" s="6">
        <v>43423.981145833328</v>
      </c>
      <c r="B467" s="7" t="str">
        <f>HYPERLINK("https://twitter.com/LuisEspoy","@LuisEspoy")</f>
        <v>@LuisEspoy</v>
      </c>
      <c r="C467" s="8" t="s">
        <v>1464</v>
      </c>
      <c r="D467" s="9" t="s">
        <v>1743</v>
      </c>
      <c r="E467" s="10" t="str">
        <f>HYPERLINK("https://twitter.com/LuisEspoy/status/1064647718876917770","1064647718876917770")</f>
        <v>1064647718876917770</v>
      </c>
      <c r="F467" s="11" t="s">
        <v>1744</v>
      </c>
      <c r="G467" s="12"/>
      <c r="H467" s="12"/>
      <c r="I467" s="13">
        <v>0</v>
      </c>
      <c r="J467" s="13">
        <v>1</v>
      </c>
      <c r="K467" s="14" t="str">
        <f>HYPERLINK("http://twitter.com/download/iphone","Twitter for iPhone")</f>
        <v>Twitter for iPhone</v>
      </c>
      <c r="L467" s="13">
        <v>245</v>
      </c>
      <c r="M467" s="13">
        <v>72</v>
      </c>
      <c r="N467" s="13">
        <v>1</v>
      </c>
      <c r="O467" s="15"/>
      <c r="P467" s="6">
        <v>43024.032488425924</v>
      </c>
      <c r="Q467" s="16" t="s">
        <v>66</v>
      </c>
      <c r="R467" s="17" t="s">
        <v>1467</v>
      </c>
      <c r="S467" s="12"/>
      <c r="T467" s="12"/>
      <c r="U467" s="10" t="str">
        <f>HYPERLINK("https://pbs.twimg.com/profile_images/923115718681464832/rO39NATA.jpg","View")</f>
        <v>View</v>
      </c>
    </row>
    <row r="468" spans="1:21" ht="51">
      <c r="A468" s="6">
        <v>43423.970011574071</v>
      </c>
      <c r="B468" s="7" t="str">
        <f>HYPERLINK("https://twitter.com/JPOMBOPAK","@JPOMBOPAK")</f>
        <v>@JPOMBOPAK</v>
      </c>
      <c r="C468" s="8" t="s">
        <v>1745</v>
      </c>
      <c r="D468" s="9" t="s">
        <v>1746</v>
      </c>
      <c r="E468" s="10" t="str">
        <f>HYPERLINK("https://twitter.com/JPOMBOPAK/status/1064643687886528517","1064643687886528517")</f>
        <v>1064643687886528517</v>
      </c>
      <c r="F468" s="11" t="s">
        <v>1747</v>
      </c>
      <c r="G468" s="12"/>
      <c r="H468" s="12"/>
      <c r="I468" s="13">
        <v>13</v>
      </c>
      <c r="J468" s="13">
        <v>9</v>
      </c>
      <c r="K468" s="14" t="str">
        <f>HYPERLINK("http://twitter.com/download/android","Twitter for Android")</f>
        <v>Twitter for Android</v>
      </c>
      <c r="L468" s="13">
        <v>4548</v>
      </c>
      <c r="M468" s="13">
        <v>2983</v>
      </c>
      <c r="N468" s="13">
        <v>43</v>
      </c>
      <c r="O468" s="15"/>
      <c r="P468" s="6">
        <v>40938.632858796293</v>
      </c>
      <c r="Q468" s="16" t="s">
        <v>66</v>
      </c>
      <c r="R468" s="17" t="s">
        <v>1749</v>
      </c>
      <c r="S468" s="11" t="s">
        <v>1750</v>
      </c>
      <c r="T468" s="12"/>
      <c r="U468" s="10" t="str">
        <f>HYPERLINK("https://pbs.twimg.com/profile_images/1062413955811942400/J2jpuBPM.jpg","View")</f>
        <v>View</v>
      </c>
    </row>
    <row r="469" spans="1:21" ht="30.6">
      <c r="A469" s="6">
        <v>43423.967662037037</v>
      </c>
      <c r="B469" s="7" t="str">
        <f>HYPERLINK("https://twitter.com/maitewabisabi","@maitewabisabi")</f>
        <v>@maitewabisabi</v>
      </c>
      <c r="C469" s="8" t="s">
        <v>2030</v>
      </c>
      <c r="D469" s="9" t="s">
        <v>2031</v>
      </c>
      <c r="E469" s="10" t="str">
        <f>HYPERLINK("https://twitter.com/maitewabisabi/status/1064642835587231744","1064642835587231744")</f>
        <v>1064642835587231744</v>
      </c>
      <c r="F469" s="12"/>
      <c r="G469" s="12"/>
      <c r="H469" s="12"/>
      <c r="I469" s="13">
        <v>0</v>
      </c>
      <c r="J469" s="13">
        <v>1</v>
      </c>
      <c r="K469" s="14" t="str">
        <f>HYPERLINK("http://twitter.com/download/iphone","Twitter for iPhone")</f>
        <v>Twitter for iPhone</v>
      </c>
      <c r="L469" s="13">
        <v>123</v>
      </c>
      <c r="M469" s="13">
        <v>132</v>
      </c>
      <c r="N469" s="13">
        <v>0</v>
      </c>
      <c r="O469" s="15"/>
      <c r="P469" s="6">
        <v>42559.801134259258</v>
      </c>
      <c r="Q469" s="12"/>
      <c r="R469" s="17" t="s">
        <v>2033</v>
      </c>
      <c r="S469" s="12"/>
      <c r="T469" s="12"/>
      <c r="U469" s="10" t="str">
        <f>HYPERLINK("https://pbs.twimg.com/profile_images/1059565948779290624/khMyEJFS.jpg","View")</f>
        <v>View</v>
      </c>
    </row>
    <row r="470" spans="1:21" ht="13.2">
      <c r="A470" s="6">
        <v>43423.959548611107</v>
      </c>
      <c r="B470" s="7" t="str">
        <f>HYPERLINK("https://twitter.com/lunadebenidorm","@lunadebenidorm")</f>
        <v>@lunadebenidorm</v>
      </c>
      <c r="C470" s="8" t="s">
        <v>106</v>
      </c>
      <c r="D470" s="9" t="s">
        <v>1751</v>
      </c>
      <c r="E470" s="10" t="str">
        <f>HYPERLINK("https://twitter.com/lunadebenidorm/status/1064639893123543040","1064639893123543040")</f>
        <v>1064639893123543040</v>
      </c>
      <c r="F470" s="11" t="s">
        <v>1752</v>
      </c>
      <c r="G470" s="12"/>
      <c r="H470" s="12"/>
      <c r="I470" s="13">
        <v>0</v>
      </c>
      <c r="J470" s="13">
        <v>0</v>
      </c>
      <c r="K470" s="14" t="str">
        <f>HYPERLINK("http://twitter.com/download/android","Twitter for Android")</f>
        <v>Twitter for Android</v>
      </c>
      <c r="L470" s="13">
        <v>3991</v>
      </c>
      <c r="M470" s="13">
        <v>3978</v>
      </c>
      <c r="N470" s="13">
        <v>79</v>
      </c>
      <c r="O470" s="15"/>
      <c r="P470" s="6">
        <v>41461.81186342593</v>
      </c>
      <c r="Q470" s="12"/>
      <c r="R470" s="17" t="s">
        <v>108</v>
      </c>
      <c r="S470" s="12"/>
      <c r="T470" s="12"/>
      <c r="U470" s="10" t="str">
        <f>HYPERLINK("https://pbs.twimg.com/profile_images/1061229593758257153/rePCQt08.jpg","View")</f>
        <v>View</v>
      </c>
    </row>
    <row r="471" spans="1:21" ht="40.799999999999997">
      <c r="A471" s="6">
        <v>43423.958506944444</v>
      </c>
      <c r="B471" s="7" t="str">
        <f>HYPERLINK("https://twitter.com/malagahoy_es","@malagahoy_es")</f>
        <v>@malagahoy_es</v>
      </c>
      <c r="C471" s="8" t="s">
        <v>1213</v>
      </c>
      <c r="D471" s="9" t="s">
        <v>1214</v>
      </c>
      <c r="E471" s="10" t="str">
        <f>HYPERLINK("https://twitter.com/malagahoy_es/status/1064639518026870784","1064639518026870784")</f>
        <v>1064639518026870784</v>
      </c>
      <c r="F471" s="11" t="s">
        <v>1215</v>
      </c>
      <c r="G471" s="12"/>
      <c r="H471" s="12"/>
      <c r="I471" s="13">
        <v>0</v>
      </c>
      <c r="J471" s="13">
        <v>0</v>
      </c>
      <c r="K471" s="14" t="str">
        <f t="shared" ref="K471:K478" si="160">HYPERLINK("http://dogtrack.es","DogTrack_Oficial")</f>
        <v>DogTrack_Oficial</v>
      </c>
      <c r="L471" s="13">
        <v>123288</v>
      </c>
      <c r="M471" s="13">
        <v>7645</v>
      </c>
      <c r="N471" s="13">
        <v>969</v>
      </c>
      <c r="O471" s="15"/>
      <c r="P471" s="6">
        <v>40325.102210648147</v>
      </c>
      <c r="Q471" s="16" t="s">
        <v>1217</v>
      </c>
      <c r="R471" s="17" t="s">
        <v>1218</v>
      </c>
      <c r="S471" s="11" t="s">
        <v>1219</v>
      </c>
      <c r="T471" s="12"/>
      <c r="U471" s="10" t="str">
        <f>HYPERLINK("https://pbs.twimg.com/profile_images/931156259105067008/QhW27LFO.jpg","View")</f>
        <v>View</v>
      </c>
    </row>
    <row r="472" spans="1:21" ht="30.6">
      <c r="A472" s="6">
        <v>43423.958506944444</v>
      </c>
      <c r="B472" s="7" t="str">
        <f>HYPERLINK("https://twitter.com/granadahoy","@granadahoy")</f>
        <v>@granadahoy</v>
      </c>
      <c r="C472" s="8" t="s">
        <v>1222</v>
      </c>
      <c r="D472" s="9" t="s">
        <v>1214</v>
      </c>
      <c r="E472" s="10" t="str">
        <f>HYPERLINK("https://twitter.com/granadahoy/status/1064639518022623232","1064639518022623232")</f>
        <v>1064639518022623232</v>
      </c>
      <c r="F472" s="11" t="s">
        <v>1225</v>
      </c>
      <c r="G472" s="12"/>
      <c r="H472" s="12"/>
      <c r="I472" s="13">
        <v>0</v>
      </c>
      <c r="J472" s="13">
        <v>1</v>
      </c>
      <c r="K472" s="14" t="str">
        <f t="shared" si="160"/>
        <v>DogTrack_Oficial</v>
      </c>
      <c r="L472" s="13">
        <v>22582</v>
      </c>
      <c r="M472" s="13">
        <v>369</v>
      </c>
      <c r="N472" s="13">
        <v>373</v>
      </c>
      <c r="O472" s="15"/>
      <c r="P472" s="6">
        <v>39413.503437499996</v>
      </c>
      <c r="Q472" s="16" t="s">
        <v>1227</v>
      </c>
      <c r="R472" s="17" t="s">
        <v>1229</v>
      </c>
      <c r="S472" s="11" t="s">
        <v>1231</v>
      </c>
      <c r="T472" s="12"/>
      <c r="U472" s="10" t="str">
        <f>HYPERLINK("https://pbs.twimg.com/profile_images/931155954606985222/9Bi6xbdl.jpg","View")</f>
        <v>View</v>
      </c>
    </row>
    <row r="473" spans="1:21" ht="30.6">
      <c r="A473" s="6">
        <v>43423.958506944444</v>
      </c>
      <c r="B473" s="7" t="str">
        <f>HYPERLINK("https://twitter.com/diariocadiz","@diariocadiz")</f>
        <v>@diariocadiz</v>
      </c>
      <c r="C473" s="8" t="s">
        <v>1234</v>
      </c>
      <c r="D473" s="9" t="s">
        <v>1214</v>
      </c>
      <c r="E473" s="10" t="str">
        <f>HYPERLINK("https://twitter.com/diariocadiz/status/1064639517980790787","1064639517980790787")</f>
        <v>1064639517980790787</v>
      </c>
      <c r="F473" s="11" t="s">
        <v>1237</v>
      </c>
      <c r="G473" s="12"/>
      <c r="H473" s="12"/>
      <c r="I473" s="13">
        <v>2</v>
      </c>
      <c r="J473" s="13">
        <v>3</v>
      </c>
      <c r="K473" s="14" t="str">
        <f t="shared" si="160"/>
        <v>DogTrack_Oficial</v>
      </c>
      <c r="L473" s="13">
        <v>84796</v>
      </c>
      <c r="M473" s="13">
        <v>67</v>
      </c>
      <c r="N473" s="13">
        <v>730</v>
      </c>
      <c r="O473" s="15"/>
      <c r="P473" s="6">
        <v>40596.748298611114</v>
      </c>
      <c r="Q473" s="16" t="s">
        <v>1239</v>
      </c>
      <c r="R473" s="17" t="s">
        <v>1240</v>
      </c>
      <c r="S473" s="11" t="s">
        <v>1241</v>
      </c>
      <c r="T473" s="12"/>
      <c r="U473" s="10" t="str">
        <f>HYPERLINK("https://pbs.twimg.com/profile_images/931158343888097281/PVq1eivx.jpg","View")</f>
        <v>View</v>
      </c>
    </row>
    <row r="474" spans="1:21" ht="30.6">
      <c r="A474" s="6">
        <v>43423.958506944444</v>
      </c>
      <c r="B474" s="7" t="str">
        <f>HYPERLINK("https://twitter.com/eldiacordoba","@eldiacordoba")</f>
        <v>@eldiacordoba</v>
      </c>
      <c r="C474" s="8" t="s">
        <v>1243</v>
      </c>
      <c r="D474" s="9" t="s">
        <v>1214</v>
      </c>
      <c r="E474" s="10" t="str">
        <f>HYPERLINK("https://twitter.com/eldiacordoba/status/1064639517964075012","1064639517964075012")</f>
        <v>1064639517964075012</v>
      </c>
      <c r="F474" s="11" t="s">
        <v>1244</v>
      </c>
      <c r="G474" s="12"/>
      <c r="H474" s="12"/>
      <c r="I474" s="13">
        <v>0</v>
      </c>
      <c r="J474" s="13">
        <v>0</v>
      </c>
      <c r="K474" s="14" t="str">
        <f t="shared" si="160"/>
        <v>DogTrack_Oficial</v>
      </c>
      <c r="L474" s="13">
        <v>60814</v>
      </c>
      <c r="M474" s="13">
        <v>2273</v>
      </c>
      <c r="N474" s="13">
        <v>606</v>
      </c>
      <c r="O474" s="15"/>
      <c r="P474" s="6">
        <v>40471.769317129627</v>
      </c>
      <c r="Q474" s="16" t="s">
        <v>1245</v>
      </c>
      <c r="R474" s="17" t="s">
        <v>1246</v>
      </c>
      <c r="S474" s="11" t="s">
        <v>1247</v>
      </c>
      <c r="T474" s="12"/>
      <c r="U474" s="10" t="str">
        <f>HYPERLINK("https://pbs.twimg.com/profile_images/931155279668023297/C19G1boO.jpg","View")</f>
        <v>View</v>
      </c>
    </row>
    <row r="475" spans="1:21" ht="40.799999999999997">
      <c r="A475" s="6">
        <v>43423.958506944444</v>
      </c>
      <c r="B475" s="7" t="str">
        <f>HYPERLINK("https://twitter.com/DiarioDAlmeria","@DiarioDAlmeria")</f>
        <v>@DiarioDAlmeria</v>
      </c>
      <c r="C475" s="8" t="s">
        <v>1249</v>
      </c>
      <c r="D475" s="9" t="s">
        <v>1214</v>
      </c>
      <c r="E475" s="10" t="str">
        <f>HYPERLINK("https://twitter.com/DiarioDAlmeria/status/1064639517926326273","1064639517926326273")</f>
        <v>1064639517926326273</v>
      </c>
      <c r="F475" s="11" t="s">
        <v>1250</v>
      </c>
      <c r="G475" s="12"/>
      <c r="H475" s="12"/>
      <c r="I475" s="13">
        <v>0</v>
      </c>
      <c r="J475" s="13">
        <v>0</v>
      </c>
      <c r="K475" s="14" t="str">
        <f t="shared" si="160"/>
        <v>DogTrack_Oficial</v>
      </c>
      <c r="L475" s="13">
        <v>11218</v>
      </c>
      <c r="M475" s="13">
        <v>442</v>
      </c>
      <c r="N475" s="13">
        <v>277</v>
      </c>
      <c r="O475" s="15"/>
      <c r="P475" s="6">
        <v>40473.74324074074</v>
      </c>
      <c r="Q475" s="16" t="s">
        <v>1251</v>
      </c>
      <c r="R475" s="17" t="s">
        <v>1252</v>
      </c>
      <c r="S475" s="11" t="s">
        <v>1253</v>
      </c>
      <c r="T475" s="12"/>
      <c r="U475" s="10" t="str">
        <f>HYPERLINK("https://pbs.twimg.com/profile_images/931158071816216576/wvKlm4qp.jpg","View")</f>
        <v>View</v>
      </c>
    </row>
    <row r="476" spans="1:21" ht="30.6">
      <c r="A476" s="6">
        <v>43423.958506944444</v>
      </c>
      <c r="B476" s="7" t="str">
        <f>HYPERLINK("https://twitter.com/huelva_info","@huelva_info")</f>
        <v>@huelva_info</v>
      </c>
      <c r="C476" s="8" t="s">
        <v>1257</v>
      </c>
      <c r="D476" s="9" t="s">
        <v>1214</v>
      </c>
      <c r="E476" s="10" t="str">
        <f>HYPERLINK("https://twitter.com/huelva_info/status/1064639517888602113","1064639517888602113")</f>
        <v>1064639517888602113</v>
      </c>
      <c r="F476" s="11" t="s">
        <v>1258</v>
      </c>
      <c r="G476" s="12"/>
      <c r="H476" s="12"/>
      <c r="I476" s="13">
        <v>0</v>
      </c>
      <c r="J476" s="13">
        <v>1</v>
      </c>
      <c r="K476" s="14" t="str">
        <f t="shared" si="160"/>
        <v>DogTrack_Oficial</v>
      </c>
      <c r="L476" s="13">
        <v>23489</v>
      </c>
      <c r="M476" s="13">
        <v>1800</v>
      </c>
      <c r="N476" s="13">
        <v>431</v>
      </c>
      <c r="O476" s="15"/>
      <c r="P476" s="6">
        <v>40548.603043981479</v>
      </c>
      <c r="Q476" s="16" t="s">
        <v>1259</v>
      </c>
      <c r="R476" s="17" t="s">
        <v>1260</v>
      </c>
      <c r="S476" s="11" t="s">
        <v>1261</v>
      </c>
      <c r="T476" s="12"/>
      <c r="U476" s="10" t="str">
        <f>HYPERLINK("https://pbs.twimg.com/profile_images/931156491226185728/D8HhoVkY.jpg","View")</f>
        <v>View</v>
      </c>
    </row>
    <row r="477" spans="1:21" ht="30.6">
      <c r="A477" s="6">
        <v>43423.958506944444</v>
      </c>
      <c r="B477" s="7" t="str">
        <f>HYPERLINK("https://twitter.com/europa_sur","@europa_sur")</f>
        <v>@europa_sur</v>
      </c>
      <c r="C477" s="8" t="s">
        <v>1263</v>
      </c>
      <c r="D477" s="9" t="s">
        <v>1214</v>
      </c>
      <c r="E477" s="10" t="str">
        <f>HYPERLINK("https://twitter.com/europa_sur/status/1064639517867606016","1064639517867606016")</f>
        <v>1064639517867606016</v>
      </c>
      <c r="F477" s="11" t="s">
        <v>1264</v>
      </c>
      <c r="G477" s="12"/>
      <c r="H477" s="12"/>
      <c r="I477" s="13">
        <v>1</v>
      </c>
      <c r="J477" s="13">
        <v>2</v>
      </c>
      <c r="K477" s="14" t="str">
        <f t="shared" si="160"/>
        <v>DogTrack_Oficial</v>
      </c>
      <c r="L477" s="13">
        <v>9254</v>
      </c>
      <c r="M477" s="13">
        <v>89</v>
      </c>
      <c r="N477" s="13">
        <v>233</v>
      </c>
      <c r="O477" s="15"/>
      <c r="P477" s="6">
        <v>40596.756747685184</v>
      </c>
      <c r="Q477" s="12"/>
      <c r="R477" s="17" t="s">
        <v>1266</v>
      </c>
      <c r="S477" s="11" t="s">
        <v>1267</v>
      </c>
      <c r="T477" s="12"/>
      <c r="U477" s="10" t="str">
        <f>HYPERLINK("https://pbs.twimg.com/profile_images/931155733982470149/Kdhx_K85.jpg","View")</f>
        <v>View</v>
      </c>
    </row>
    <row r="478" spans="1:21" ht="30.6">
      <c r="A478" s="6">
        <v>43423.958506944444</v>
      </c>
      <c r="B478" s="7" t="str">
        <f>HYPERLINK("https://twitter.com/diariodejerez","@diariodejerez")</f>
        <v>@diariodejerez</v>
      </c>
      <c r="C478" s="8" t="s">
        <v>1268</v>
      </c>
      <c r="D478" s="9" t="s">
        <v>1214</v>
      </c>
      <c r="E478" s="10" t="str">
        <f>HYPERLINK("https://twitter.com/diariodejerez/status/1064639517863407617","1064639517863407617")</f>
        <v>1064639517863407617</v>
      </c>
      <c r="F478" s="11" t="s">
        <v>1271</v>
      </c>
      <c r="G478" s="12"/>
      <c r="H478" s="12"/>
      <c r="I478" s="13">
        <v>1</v>
      </c>
      <c r="J478" s="13">
        <v>1</v>
      </c>
      <c r="K478" s="14" t="str">
        <f t="shared" si="160"/>
        <v>DogTrack_Oficial</v>
      </c>
      <c r="L478" s="13">
        <v>16273</v>
      </c>
      <c r="M478" s="13">
        <v>11</v>
      </c>
      <c r="N478" s="13">
        <v>278</v>
      </c>
      <c r="O478" s="15"/>
      <c r="P478" s="6">
        <v>40582.431689814817</v>
      </c>
      <c r="Q478" s="16" t="s">
        <v>1273</v>
      </c>
      <c r="R478" s="17" t="s">
        <v>1274</v>
      </c>
      <c r="S478" s="11" t="s">
        <v>1275</v>
      </c>
      <c r="T478" s="12"/>
      <c r="U478" s="10" t="str">
        <f>HYPERLINK("https://pbs.twimg.com/profile_images/931157158053412864/5WRXsKKP.jpg","View")</f>
        <v>View</v>
      </c>
    </row>
    <row r="479" spans="1:21" ht="13.2">
      <c r="A479" s="6">
        <v>43423.954583333332</v>
      </c>
      <c r="B479" s="7" t="str">
        <f>HYPERLINK("https://twitter.com/lunadebenidorm","@lunadebenidorm")</f>
        <v>@lunadebenidorm</v>
      </c>
      <c r="C479" s="8" t="s">
        <v>106</v>
      </c>
      <c r="D479" s="9" t="s">
        <v>1740</v>
      </c>
      <c r="E479" s="10" t="str">
        <f>HYPERLINK("https://twitter.com/lunadebenidorm/status/1064638093049962496","1064638093049962496")</f>
        <v>1064638093049962496</v>
      </c>
      <c r="F479" s="11" t="s">
        <v>1761</v>
      </c>
      <c r="G479" s="12"/>
      <c r="H479" s="12"/>
      <c r="I479" s="13">
        <v>0</v>
      </c>
      <c r="J479" s="13">
        <v>1</v>
      </c>
      <c r="K479" s="14" t="str">
        <f t="shared" ref="K479:K480" si="161">HYPERLINK("http://twitter.com/download/android","Twitter for Android")</f>
        <v>Twitter for Android</v>
      </c>
      <c r="L479" s="13">
        <v>3991</v>
      </c>
      <c r="M479" s="13">
        <v>3978</v>
      </c>
      <c r="N479" s="13">
        <v>79</v>
      </c>
      <c r="O479" s="15"/>
      <c r="P479" s="6">
        <v>41461.81186342593</v>
      </c>
      <c r="Q479" s="12"/>
      <c r="R479" s="17" t="s">
        <v>108</v>
      </c>
      <c r="S479" s="12"/>
      <c r="T479" s="12"/>
      <c r="U479" s="10" t="str">
        <f>HYPERLINK("https://pbs.twimg.com/profile_images/1061229593758257153/rePCQt08.jpg","View")</f>
        <v>View</v>
      </c>
    </row>
    <row r="480" spans="1:21" ht="30.6">
      <c r="A480" s="6">
        <v>43423.950914351852</v>
      </c>
      <c r="B480" s="7" t="str">
        <f>HYPERLINK("https://twitter.com/malakahin","@malakahin")</f>
        <v>@malakahin</v>
      </c>
      <c r="C480" s="8" t="s">
        <v>2068</v>
      </c>
      <c r="D480" s="9" t="s">
        <v>2069</v>
      </c>
      <c r="E480" s="10" t="str">
        <f>HYPERLINK("https://twitter.com/malakahin/status/1064636763958853632","1064636763958853632")</f>
        <v>1064636763958853632</v>
      </c>
      <c r="F480" s="12"/>
      <c r="G480" s="12"/>
      <c r="H480" s="12"/>
      <c r="I480" s="13">
        <v>15</v>
      </c>
      <c r="J480" s="13">
        <v>17</v>
      </c>
      <c r="K480" s="14" t="str">
        <f t="shared" si="161"/>
        <v>Twitter for Android</v>
      </c>
      <c r="L480" s="13">
        <v>3248</v>
      </c>
      <c r="M480" s="13">
        <v>743</v>
      </c>
      <c r="N480" s="13">
        <v>59</v>
      </c>
      <c r="O480" s="15"/>
      <c r="P480" s="6">
        <v>40568.069803240738</v>
      </c>
      <c r="Q480" s="12"/>
      <c r="R480" s="17" t="s">
        <v>2071</v>
      </c>
      <c r="S480" s="12"/>
      <c r="T480" s="12"/>
      <c r="U480" s="10" t="str">
        <f>HYPERLINK("https://pbs.twimg.com/profile_images/1062119379612155904/2hm34aiB.jpg","View")</f>
        <v>View</v>
      </c>
    </row>
    <row r="481" spans="1:21" ht="30.6">
      <c r="A481" s="6">
        <v>43423.949328703704</v>
      </c>
      <c r="B481" s="7" t="str">
        <f>HYPERLINK("https://twitter.com/diariosevilla","@diariosevilla")</f>
        <v>@diariosevilla</v>
      </c>
      <c r="C481" s="8" t="s">
        <v>1284</v>
      </c>
      <c r="D481" s="9" t="s">
        <v>1214</v>
      </c>
      <c r="E481" s="10" t="str">
        <f>HYPERLINK("https://twitter.com/diariosevilla/status/1064636192338132992","1064636192338132992")</f>
        <v>1064636192338132992</v>
      </c>
      <c r="F481" s="11" t="s">
        <v>1286</v>
      </c>
      <c r="G481" s="12"/>
      <c r="H481" s="12"/>
      <c r="I481" s="13">
        <v>2</v>
      </c>
      <c r="J481" s="13">
        <v>1</v>
      </c>
      <c r="K481" s="14" t="str">
        <f>HYPERLINK("http://dogtrack.es","DogTrack_Oficial")</f>
        <v>DogTrack_Oficial</v>
      </c>
      <c r="L481" s="13">
        <v>173979</v>
      </c>
      <c r="M481" s="13">
        <v>528</v>
      </c>
      <c r="N481" s="13">
        <v>1711</v>
      </c>
      <c r="O481" s="23" t="s">
        <v>186</v>
      </c>
      <c r="P481" s="6">
        <v>39925.529039351852</v>
      </c>
      <c r="Q481" s="16" t="s">
        <v>1289</v>
      </c>
      <c r="R481" s="17" t="s">
        <v>1290</v>
      </c>
      <c r="S481" s="11" t="s">
        <v>1291</v>
      </c>
      <c r="T481" s="12"/>
      <c r="U481" s="10" t="str">
        <f>HYPERLINK("https://pbs.twimg.com/profile_images/931153789062668288/fJbpOwDZ.jpg","View")</f>
        <v>View</v>
      </c>
    </row>
    <row r="482" spans="1:21" ht="61.2">
      <c r="A482" s="6">
        <v>43423.943101851852</v>
      </c>
      <c r="B482" s="7" t="str">
        <f>HYPERLINK("https://twitter.com/Pozo_1969","@Pozo_1969")</f>
        <v>@Pozo_1969</v>
      </c>
      <c r="C482" s="8" t="s">
        <v>556</v>
      </c>
      <c r="D482" s="9" t="s">
        <v>1768</v>
      </c>
      <c r="E482" s="10" t="str">
        <f>HYPERLINK("https://twitter.com/Pozo_1969/status/1064633936121335810","1064633936121335810")</f>
        <v>1064633936121335810</v>
      </c>
      <c r="F482" s="12"/>
      <c r="G482" s="11" t="s">
        <v>1769</v>
      </c>
      <c r="H482" s="12"/>
      <c r="I482" s="13">
        <v>15</v>
      </c>
      <c r="J482" s="13">
        <v>21</v>
      </c>
      <c r="K482" s="14" t="str">
        <f>HYPERLINK("http://twitter.com/download/android","Twitter for Android")</f>
        <v>Twitter for Android</v>
      </c>
      <c r="L482" s="13">
        <v>2102</v>
      </c>
      <c r="M482" s="13">
        <v>2137</v>
      </c>
      <c r="N482" s="13">
        <v>40</v>
      </c>
      <c r="O482" s="15"/>
      <c r="P482" s="6">
        <v>40815.401643518519</v>
      </c>
      <c r="Q482" s="12"/>
      <c r="R482" s="17" t="s">
        <v>558</v>
      </c>
      <c r="S482" s="12"/>
      <c r="T482" s="12"/>
      <c r="U482" s="10" t="str">
        <f>HYPERLINK("https://pbs.twimg.com/profile_images/844561592603824128/WgXnX2H3.jpg","View")</f>
        <v>View</v>
      </c>
    </row>
    <row r="483" spans="1:21" ht="61.2">
      <c r="A483" s="6">
        <v>43423.941840277781</v>
      </c>
      <c r="B483" s="7" t="str">
        <f>HYPERLINK("https://twitter.com/jccanol","@jccanol")</f>
        <v>@jccanol</v>
      </c>
      <c r="C483" s="8" t="s">
        <v>1772</v>
      </c>
      <c r="D483" s="9" t="s">
        <v>1773</v>
      </c>
      <c r="E483" s="10" t="str">
        <f>HYPERLINK("https://twitter.com/jccanol/status/1064633476740202497","1064633476740202497")</f>
        <v>1064633476740202497</v>
      </c>
      <c r="F483" s="12"/>
      <c r="G483" s="12"/>
      <c r="H483" s="12"/>
      <c r="I483" s="13">
        <v>0</v>
      </c>
      <c r="J483" s="13">
        <v>0</v>
      </c>
      <c r="K483" s="14" t="str">
        <f>HYPERLINK("http://twitter.com","Twitter Web Client")</f>
        <v>Twitter Web Client</v>
      </c>
      <c r="L483" s="13">
        <v>776</v>
      </c>
      <c r="M483" s="13">
        <v>552</v>
      </c>
      <c r="N483" s="13">
        <v>13</v>
      </c>
      <c r="O483" s="15"/>
      <c r="P483" s="6">
        <v>42339.630462962959</v>
      </c>
      <c r="Q483" s="12"/>
      <c r="R483" s="17" t="s">
        <v>1774</v>
      </c>
      <c r="S483" s="12"/>
      <c r="T483" s="12"/>
      <c r="U483" s="10" t="str">
        <f>HYPERLINK("https://pbs.twimg.com/profile_images/962693242276990976/ijxw0kPk.jpg","View")</f>
        <v>View</v>
      </c>
    </row>
    <row r="484" spans="1:21" ht="13.2">
      <c r="A484" s="6">
        <v>43423.939467592594</v>
      </c>
      <c r="B484" s="7" t="str">
        <f>HYPERLINK("https://twitter.com/tortugastyle8","@tortugastyle8")</f>
        <v>@tortugastyle8</v>
      </c>
      <c r="C484" s="8" t="s">
        <v>2087</v>
      </c>
      <c r="D484" s="9" t="s">
        <v>2088</v>
      </c>
      <c r="E484" s="10" t="str">
        <f>HYPERLINK("https://twitter.com/tortugastyle8/status/1064632618535276546","1064632618535276546")</f>
        <v>1064632618535276546</v>
      </c>
      <c r="F484" s="12"/>
      <c r="G484" s="11" t="s">
        <v>2090</v>
      </c>
      <c r="H484" s="12"/>
      <c r="I484" s="13">
        <v>0</v>
      </c>
      <c r="J484" s="13">
        <v>0</v>
      </c>
      <c r="K484" s="14" t="str">
        <f>HYPERLINK("http://twitter.com/download/iphone","Twitter for iPhone")</f>
        <v>Twitter for iPhone</v>
      </c>
      <c r="L484" s="13">
        <v>123</v>
      </c>
      <c r="M484" s="13">
        <v>393</v>
      </c>
      <c r="N484" s="13">
        <v>4</v>
      </c>
      <c r="O484" s="15"/>
      <c r="P484" s="6">
        <v>40655.025509259256</v>
      </c>
      <c r="Q484" s="16" t="s">
        <v>2092</v>
      </c>
      <c r="R484" s="17" t="s">
        <v>2093</v>
      </c>
      <c r="S484" s="12"/>
      <c r="T484" s="12"/>
      <c r="U484" s="10" t="str">
        <f>HYPERLINK("https://pbs.twimg.com/profile_images/1057004380598267905/CS6q4JVa.jpg","View")</f>
        <v>View</v>
      </c>
    </row>
    <row r="485" spans="1:21" ht="30.6">
      <c r="A485" s="6">
        <v>43423.925428240742</v>
      </c>
      <c r="B485" s="7" t="str">
        <f>HYPERLINK("https://twitter.com/JBGarridoF1","@JBGarridoF1")</f>
        <v>@JBGarridoF1</v>
      </c>
      <c r="C485" s="8" t="s">
        <v>1776</v>
      </c>
      <c r="D485" s="9" t="s">
        <v>1777</v>
      </c>
      <c r="E485" s="10" t="str">
        <f>HYPERLINK("https://twitter.com/JBGarridoF1/status/1064627530353778688","1064627530353778688")</f>
        <v>1064627530353778688</v>
      </c>
      <c r="F485" s="12"/>
      <c r="G485" s="12"/>
      <c r="H485" s="12"/>
      <c r="I485" s="13">
        <v>0</v>
      </c>
      <c r="J485" s="13">
        <v>1</v>
      </c>
      <c r="K485" s="14" t="str">
        <f>HYPERLINK("http://twitter.com/download/android","Twitter for Android")</f>
        <v>Twitter for Android</v>
      </c>
      <c r="L485" s="13">
        <v>528</v>
      </c>
      <c r="M485" s="13">
        <v>1007</v>
      </c>
      <c r="N485" s="13">
        <v>37</v>
      </c>
      <c r="O485" s="15"/>
      <c r="P485" s="6">
        <v>40942.896006944444</v>
      </c>
      <c r="Q485" s="16" t="s">
        <v>1779</v>
      </c>
      <c r="R485" s="17" t="s">
        <v>1780</v>
      </c>
      <c r="S485" s="12"/>
      <c r="T485" s="12"/>
      <c r="U485" s="10" t="str">
        <f>HYPERLINK("https://pbs.twimg.com/profile_images/1010142266529378304/6-M8qYgz.jpg","View")</f>
        <v>View</v>
      </c>
    </row>
    <row r="486" spans="1:21" ht="30.6">
      <c r="A486" s="6">
        <v>43423.920428240745</v>
      </c>
      <c r="B486" s="7" t="str">
        <f>HYPERLINK("https://twitter.com/panfilomr","@panfilomr")</f>
        <v>@panfilomr</v>
      </c>
      <c r="C486" s="8" t="s">
        <v>2100</v>
      </c>
      <c r="D486" s="9" t="s">
        <v>2101</v>
      </c>
      <c r="E486" s="10" t="str">
        <f>HYPERLINK("https://twitter.com/panfilomr/status/1064625719446257664","1064625719446257664")</f>
        <v>1064625719446257664</v>
      </c>
      <c r="F486" s="11" t="s">
        <v>2104</v>
      </c>
      <c r="G486" s="12"/>
      <c r="H486" s="12"/>
      <c r="I486" s="13">
        <v>0</v>
      </c>
      <c r="J486" s="13">
        <v>0</v>
      </c>
      <c r="K486" s="14" t="str">
        <f>HYPERLINK("https://www.google.com/","Google")</f>
        <v>Google</v>
      </c>
      <c r="L486" s="13">
        <v>8</v>
      </c>
      <c r="M486" s="13">
        <v>34</v>
      </c>
      <c r="N486" s="13">
        <v>1</v>
      </c>
      <c r="O486" s="15"/>
      <c r="P486" s="6">
        <v>40466.541643518518</v>
      </c>
      <c r="Q486" s="16" t="s">
        <v>2106</v>
      </c>
      <c r="R486" s="21"/>
      <c r="S486" s="12"/>
      <c r="T486" s="12"/>
      <c r="U486" s="10" t="str">
        <f>HYPERLINK("https://pbs.twimg.com/profile_images/457288487658463233/NgWIwn5H.png","View")</f>
        <v>View</v>
      </c>
    </row>
    <row r="487" spans="1:21" ht="30.6">
      <c r="A487" s="6">
        <v>43423.917581018519</v>
      </c>
      <c r="B487" s="7" t="str">
        <f>HYPERLINK("https://twitter.com/FundacionDels","@FundacionDels")</f>
        <v>@FundacionDels</v>
      </c>
      <c r="C487" s="8" t="s">
        <v>2110</v>
      </c>
      <c r="D487" s="9" t="s">
        <v>2111</v>
      </c>
      <c r="E487" s="10" t="str">
        <f>HYPERLINK("https://twitter.com/FundacionDels/status/1064624684023586822","1064624684023586822")</f>
        <v>1064624684023586822</v>
      </c>
      <c r="F487" s="12"/>
      <c r="G487" s="12"/>
      <c r="H487" s="12"/>
      <c r="I487" s="13">
        <v>0</v>
      </c>
      <c r="J487" s="13">
        <v>0</v>
      </c>
      <c r="K487" s="14" t="str">
        <f>HYPERLINK("http://twitter.com/download/android","Twitter for Android")</f>
        <v>Twitter for Android</v>
      </c>
      <c r="L487" s="13">
        <v>3274</v>
      </c>
      <c r="M487" s="13">
        <v>633</v>
      </c>
      <c r="N487" s="13">
        <v>14</v>
      </c>
      <c r="O487" s="15"/>
      <c r="P487" s="6">
        <v>43209.028078703705</v>
      </c>
      <c r="Q487" s="12"/>
      <c r="R487" s="17" t="s">
        <v>2115</v>
      </c>
      <c r="S487" s="12"/>
      <c r="T487" s="12"/>
      <c r="U487" s="10" t="str">
        <f>HYPERLINK("https://pbs.twimg.com/profile_images/1063499450256171009/rN5CThYU.jpg","View")</f>
        <v>View</v>
      </c>
    </row>
    <row r="488" spans="1:21" ht="40.799999999999997">
      <c r="A488" s="6">
        <v>43423.913993055554</v>
      </c>
      <c r="B488" s="7" t="str">
        <f>HYPERLINK("https://twitter.com/MiguelRaistlin","@MiguelRaistlin")</f>
        <v>@MiguelRaistlin</v>
      </c>
      <c r="C488" s="8" t="s">
        <v>1781</v>
      </c>
      <c r="D488" s="9" t="s">
        <v>1782</v>
      </c>
      <c r="E488" s="10" t="str">
        <f>HYPERLINK("https://twitter.com/MiguelRaistlin/status/1064623384284340225","1064623384284340225")</f>
        <v>1064623384284340225</v>
      </c>
      <c r="F488" s="12"/>
      <c r="G488" s="12"/>
      <c r="H488" s="12"/>
      <c r="I488" s="13">
        <v>0</v>
      </c>
      <c r="J488" s="13">
        <v>0</v>
      </c>
      <c r="K488" s="14" t="str">
        <f>HYPERLINK("http://twitter.com/download/iphone","Twitter for iPhone")</f>
        <v>Twitter for iPhone</v>
      </c>
      <c r="L488" s="13">
        <v>429</v>
      </c>
      <c r="M488" s="13">
        <v>1077</v>
      </c>
      <c r="N488" s="13">
        <v>12</v>
      </c>
      <c r="O488" s="15"/>
      <c r="P488" s="6">
        <v>40669.860636574071</v>
      </c>
      <c r="Q488" s="16" t="s">
        <v>1783</v>
      </c>
      <c r="R488" s="17" t="s">
        <v>1784</v>
      </c>
      <c r="S488" s="11" t="s">
        <v>1785</v>
      </c>
      <c r="T488" s="12"/>
      <c r="U488" s="10" t="str">
        <f>HYPERLINK("https://pbs.twimg.com/profile_images/1025367743892217856/Kzi7d0fX.jpg","View")</f>
        <v>View</v>
      </c>
    </row>
    <row r="489" spans="1:21" ht="20.399999999999999">
      <c r="A489" s="6">
        <v>43423.912326388891</v>
      </c>
      <c r="B489" s="7" t="str">
        <f>HYPERLINK("https://twitter.com/pijua76","@pijua76")</f>
        <v>@pijua76</v>
      </c>
      <c r="C489" s="8" t="s">
        <v>1789</v>
      </c>
      <c r="D489" s="9" t="s">
        <v>1790</v>
      </c>
      <c r="E489" s="10" t="str">
        <f>HYPERLINK("https://twitter.com/pijua76/status/1064622782334599169","1064622782334599169")</f>
        <v>1064622782334599169</v>
      </c>
      <c r="F489" s="12"/>
      <c r="G489" s="11" t="s">
        <v>1791</v>
      </c>
      <c r="H489" s="12"/>
      <c r="I489" s="13">
        <v>3</v>
      </c>
      <c r="J489" s="13">
        <v>4</v>
      </c>
      <c r="K489" s="14" t="str">
        <f t="shared" ref="K489:K490" si="162">HYPERLINK("http://twitter.com/download/android","Twitter for Android")</f>
        <v>Twitter for Android</v>
      </c>
      <c r="L489" s="13">
        <v>1206</v>
      </c>
      <c r="M489" s="13">
        <v>358</v>
      </c>
      <c r="N489" s="13">
        <v>14</v>
      </c>
      <c r="O489" s="15"/>
      <c r="P489" s="6">
        <v>40733.892048611109</v>
      </c>
      <c r="Q489" s="16" t="s">
        <v>1605</v>
      </c>
      <c r="R489" s="17" t="s">
        <v>1792</v>
      </c>
      <c r="S489" s="12"/>
      <c r="T489" s="12"/>
      <c r="U489" s="10" t="str">
        <f>HYPERLINK("https://pbs.twimg.com/profile_images/731881894753751041/Zp8GI5A5.jpg","View")</f>
        <v>View</v>
      </c>
    </row>
    <row r="490" spans="1:21" ht="20.399999999999999">
      <c r="A490" s="6">
        <v>43423.912118055552</v>
      </c>
      <c r="B490" s="7" t="str">
        <f>HYPERLINK("https://twitter.com/lunadebenidorm","@lunadebenidorm")</f>
        <v>@lunadebenidorm</v>
      </c>
      <c r="C490" s="8" t="s">
        <v>106</v>
      </c>
      <c r="D490" s="9" t="s">
        <v>1793</v>
      </c>
      <c r="E490" s="10" t="str">
        <f>HYPERLINK("https://twitter.com/lunadebenidorm/status/1064622704341524480","1064622704341524480")</f>
        <v>1064622704341524480</v>
      </c>
      <c r="F490" s="12"/>
      <c r="G490" s="11" t="s">
        <v>1794</v>
      </c>
      <c r="H490" s="12"/>
      <c r="I490" s="13">
        <v>0</v>
      </c>
      <c r="J490" s="13">
        <v>0</v>
      </c>
      <c r="K490" s="14" t="str">
        <f t="shared" si="162"/>
        <v>Twitter for Android</v>
      </c>
      <c r="L490" s="13">
        <v>3991</v>
      </c>
      <c r="M490" s="13">
        <v>3978</v>
      </c>
      <c r="N490" s="13">
        <v>79</v>
      </c>
      <c r="O490" s="15"/>
      <c r="P490" s="6">
        <v>41461.81186342593</v>
      </c>
      <c r="Q490" s="12"/>
      <c r="R490" s="17" t="s">
        <v>108</v>
      </c>
      <c r="S490" s="12"/>
      <c r="T490" s="12"/>
      <c r="U490" s="10" t="str">
        <f>HYPERLINK("https://pbs.twimg.com/profile_images/1061229593758257153/rePCQt08.jpg","View")</f>
        <v>View</v>
      </c>
    </row>
    <row r="491" spans="1:21" ht="30.6">
      <c r="A491" s="6">
        <v>43423.904062500005</v>
      </c>
      <c r="B491" s="7" t="str">
        <f>HYPERLINK("https://twitter.com/KralemHD","@KralemHD")</f>
        <v>@KralemHD</v>
      </c>
      <c r="C491" s="8" t="s">
        <v>1795</v>
      </c>
      <c r="D491" s="9" t="s">
        <v>1796</v>
      </c>
      <c r="E491" s="10" t="str">
        <f>HYPERLINK("https://twitter.com/KralemHD/status/1064619786825551880","1064619786825551880")</f>
        <v>1064619786825551880</v>
      </c>
      <c r="F491" s="12"/>
      <c r="G491" s="11" t="s">
        <v>1797</v>
      </c>
      <c r="H491" s="12"/>
      <c r="I491" s="13">
        <v>0</v>
      </c>
      <c r="J491" s="13">
        <v>0</v>
      </c>
      <c r="K491" s="14" t="str">
        <f>HYPERLINK("http://twitter.com/download/iphone","Twitter for iPhone")</f>
        <v>Twitter for iPhone</v>
      </c>
      <c r="L491" s="13">
        <v>3127</v>
      </c>
      <c r="M491" s="13">
        <v>82</v>
      </c>
      <c r="N491" s="13">
        <v>14</v>
      </c>
      <c r="O491" s="15"/>
      <c r="P491" s="6">
        <v>41872.683263888888</v>
      </c>
      <c r="Q491" s="16" t="s">
        <v>34</v>
      </c>
      <c r="R491" s="17" t="s">
        <v>1798</v>
      </c>
      <c r="S491" s="11" t="s">
        <v>1799</v>
      </c>
      <c r="T491" s="12"/>
      <c r="U491" s="10" t="str">
        <f>HYPERLINK("https://pbs.twimg.com/profile_images/654776316114300931/Udq_0F63.png","View")</f>
        <v>View</v>
      </c>
    </row>
    <row r="492" spans="1:21" ht="13.2">
      <c r="A492" s="6">
        <v>43423.90143518518</v>
      </c>
      <c r="B492" s="7" t="str">
        <f t="shared" ref="B492:B493" si="163">HYPERLINK("https://twitter.com/lunadebenidorm","@lunadebenidorm")</f>
        <v>@lunadebenidorm</v>
      </c>
      <c r="C492" s="8" t="s">
        <v>106</v>
      </c>
      <c r="D492" s="9" t="s">
        <v>1800</v>
      </c>
      <c r="E492" s="10" t="str">
        <f>HYPERLINK("https://twitter.com/lunadebenidorm/status/1064618833808371712","1064618833808371712")</f>
        <v>1064618833808371712</v>
      </c>
      <c r="F492" s="12"/>
      <c r="G492" s="11" t="s">
        <v>1802</v>
      </c>
      <c r="H492" s="12"/>
      <c r="I492" s="13">
        <v>0</v>
      </c>
      <c r="J492" s="13">
        <v>0</v>
      </c>
      <c r="K492" s="14" t="str">
        <f t="shared" ref="K492:K497" si="164">HYPERLINK("http://twitter.com/download/android","Twitter for Android")</f>
        <v>Twitter for Android</v>
      </c>
      <c r="L492" s="13">
        <v>3991</v>
      </c>
      <c r="M492" s="13">
        <v>3978</v>
      </c>
      <c r="N492" s="13">
        <v>79</v>
      </c>
      <c r="O492" s="15"/>
      <c r="P492" s="6">
        <v>41461.81186342593</v>
      </c>
      <c r="Q492" s="12"/>
      <c r="R492" s="17" t="s">
        <v>108</v>
      </c>
      <c r="S492" s="12"/>
      <c r="T492" s="12"/>
      <c r="U492" s="10" t="str">
        <f t="shared" ref="U492:U493" si="165">HYPERLINK("https://pbs.twimg.com/profile_images/1061229593758257153/rePCQt08.jpg","View")</f>
        <v>View</v>
      </c>
    </row>
    <row r="493" spans="1:21" ht="13.2">
      <c r="A493" s="6">
        <v>43423.900081018517</v>
      </c>
      <c r="B493" s="7" t="str">
        <f t="shared" si="163"/>
        <v>@lunadebenidorm</v>
      </c>
      <c r="C493" s="8" t="s">
        <v>106</v>
      </c>
      <c r="D493" s="9" t="s">
        <v>1740</v>
      </c>
      <c r="E493" s="10" t="str">
        <f>HYPERLINK("https://twitter.com/lunadebenidorm/status/1064618344492474368","1064618344492474368")</f>
        <v>1064618344492474368</v>
      </c>
      <c r="F493" s="11" t="s">
        <v>1803</v>
      </c>
      <c r="G493" s="12"/>
      <c r="H493" s="12"/>
      <c r="I493" s="13">
        <v>0</v>
      </c>
      <c r="J493" s="13">
        <v>0</v>
      </c>
      <c r="K493" s="14" t="str">
        <f t="shared" si="164"/>
        <v>Twitter for Android</v>
      </c>
      <c r="L493" s="13">
        <v>3991</v>
      </c>
      <c r="M493" s="13">
        <v>3978</v>
      </c>
      <c r="N493" s="13">
        <v>79</v>
      </c>
      <c r="O493" s="15"/>
      <c r="P493" s="6">
        <v>41461.81186342593</v>
      </c>
      <c r="Q493" s="12"/>
      <c r="R493" s="17" t="s">
        <v>108</v>
      </c>
      <c r="S493" s="12"/>
      <c r="T493" s="12"/>
      <c r="U493" s="10" t="str">
        <f t="shared" si="165"/>
        <v>View</v>
      </c>
    </row>
    <row r="494" spans="1:21" ht="20.399999999999999">
      <c r="A494" s="6">
        <v>43423.897858796292</v>
      </c>
      <c r="B494" s="7" t="str">
        <f>HYPERLINK("https://twitter.com/PasosLargus","@PasosLargus")</f>
        <v>@PasosLargus</v>
      </c>
      <c r="C494" s="8" t="s">
        <v>1804</v>
      </c>
      <c r="D494" s="9" t="s">
        <v>1805</v>
      </c>
      <c r="E494" s="10" t="str">
        <f>HYPERLINK("https://twitter.com/PasosLargus/status/1064617538829647879","1064617538829647879")</f>
        <v>1064617538829647879</v>
      </c>
      <c r="F494" s="12"/>
      <c r="G494" s="12"/>
      <c r="H494" s="12"/>
      <c r="I494" s="13">
        <v>0</v>
      </c>
      <c r="J494" s="13">
        <v>1</v>
      </c>
      <c r="K494" s="14" t="str">
        <f t="shared" si="164"/>
        <v>Twitter for Android</v>
      </c>
      <c r="L494" s="13">
        <v>622</v>
      </c>
      <c r="M494" s="13">
        <v>323</v>
      </c>
      <c r="N494" s="13">
        <v>12</v>
      </c>
      <c r="O494" s="15"/>
      <c r="P494" s="6">
        <v>40477.476087962961</v>
      </c>
      <c r="Q494" s="12"/>
      <c r="R494" s="17" t="s">
        <v>1806</v>
      </c>
      <c r="S494" s="12"/>
      <c r="T494" s="12"/>
      <c r="U494" s="10" t="str">
        <f>HYPERLINK("https://pbs.twimg.com/profile_images/1046750825253687297/R_ex1GHw.jpg","View")</f>
        <v>View</v>
      </c>
    </row>
    <row r="495" spans="1:21" ht="51">
      <c r="A495" s="6">
        <v>43423.894108796296</v>
      </c>
      <c r="B495" s="7" t="str">
        <f>HYPERLINK("https://twitter.com/lunadebenidorm","@lunadebenidorm")</f>
        <v>@lunadebenidorm</v>
      </c>
      <c r="C495" s="8" t="s">
        <v>106</v>
      </c>
      <c r="D495" s="9" t="s">
        <v>1330</v>
      </c>
      <c r="E495" s="10" t="str">
        <f>HYPERLINK("https://twitter.com/lunadebenidorm/status/1064616180038713346","1064616180038713346")</f>
        <v>1064616180038713346</v>
      </c>
      <c r="F495" s="12"/>
      <c r="G495" s="12"/>
      <c r="H495" s="12"/>
      <c r="I495" s="13">
        <v>0</v>
      </c>
      <c r="J495" s="13">
        <v>0</v>
      </c>
      <c r="K495" s="14" t="str">
        <f t="shared" si="164"/>
        <v>Twitter for Android</v>
      </c>
      <c r="L495" s="13">
        <v>3991</v>
      </c>
      <c r="M495" s="13">
        <v>3978</v>
      </c>
      <c r="N495" s="13">
        <v>79</v>
      </c>
      <c r="O495" s="15"/>
      <c r="P495" s="6">
        <v>41461.81186342593</v>
      </c>
      <c r="Q495" s="12"/>
      <c r="R495" s="17" t="s">
        <v>108</v>
      </c>
      <c r="S495" s="12"/>
      <c r="T495" s="12"/>
      <c r="U495" s="10" t="str">
        <f>HYPERLINK("https://pbs.twimg.com/profile_images/1061229593758257153/rePCQt08.jpg","View")</f>
        <v>View</v>
      </c>
    </row>
    <row r="496" spans="1:21" ht="61.2">
      <c r="A496" s="6">
        <v>43423.890798611115</v>
      </c>
      <c r="B496" s="7" t="str">
        <f>HYPERLINK("https://twitter.com/marquezsergio09","@marquezsergio09")</f>
        <v>@marquezsergio09</v>
      </c>
      <c r="C496" s="8" t="s">
        <v>1807</v>
      </c>
      <c r="D496" s="9" t="s">
        <v>1808</v>
      </c>
      <c r="E496" s="10" t="str">
        <f>HYPERLINK("https://twitter.com/marquezsergio09/status/1064614981365317632","1064614981365317632")</f>
        <v>1064614981365317632</v>
      </c>
      <c r="F496" s="12"/>
      <c r="G496" s="11" t="s">
        <v>1809</v>
      </c>
      <c r="H496" s="12"/>
      <c r="I496" s="13">
        <v>1</v>
      </c>
      <c r="J496" s="13">
        <v>2</v>
      </c>
      <c r="K496" s="14" t="str">
        <f t="shared" si="164"/>
        <v>Twitter for Android</v>
      </c>
      <c r="L496" s="13">
        <v>255</v>
      </c>
      <c r="M496" s="13">
        <v>560</v>
      </c>
      <c r="N496" s="13">
        <v>0</v>
      </c>
      <c r="O496" s="15"/>
      <c r="P496" s="6">
        <v>42740.647418981476</v>
      </c>
      <c r="Q496" s="16" t="s">
        <v>1810</v>
      </c>
      <c r="R496" s="17" t="s">
        <v>1811</v>
      </c>
      <c r="S496" s="12"/>
      <c r="T496" s="12"/>
      <c r="U496" s="10" t="str">
        <f>HYPERLINK("https://pbs.twimg.com/profile_images/1063280678782058497/HVuBkRi2.jpg","View")</f>
        <v>View</v>
      </c>
    </row>
    <row r="497" spans="1:21" ht="30.6">
      <c r="A497" s="6">
        <v>43423.87672453704</v>
      </c>
      <c r="B497" s="7" t="str">
        <f>HYPERLINK("https://twitter.com/lunadebenidorm","@lunadebenidorm")</f>
        <v>@lunadebenidorm</v>
      </c>
      <c r="C497" s="8" t="s">
        <v>106</v>
      </c>
      <c r="D497" s="9" t="s">
        <v>1812</v>
      </c>
      <c r="E497" s="10" t="str">
        <f>HYPERLINK("https://twitter.com/lunadebenidorm/status/1064609880588337153","1064609880588337153")</f>
        <v>1064609880588337153</v>
      </c>
      <c r="F497" s="12"/>
      <c r="G497" s="11" t="s">
        <v>1813</v>
      </c>
      <c r="H497" s="12"/>
      <c r="I497" s="13">
        <v>2</v>
      </c>
      <c r="J497" s="13">
        <v>2</v>
      </c>
      <c r="K497" s="14" t="str">
        <f t="shared" si="164"/>
        <v>Twitter for Android</v>
      </c>
      <c r="L497" s="13">
        <v>3991</v>
      </c>
      <c r="M497" s="13">
        <v>3978</v>
      </c>
      <c r="N497" s="13">
        <v>79</v>
      </c>
      <c r="O497" s="15"/>
      <c r="P497" s="6">
        <v>41461.81186342593</v>
      </c>
      <c r="Q497" s="12"/>
      <c r="R497" s="17" t="s">
        <v>108</v>
      </c>
      <c r="S497" s="12"/>
      <c r="T497" s="12"/>
      <c r="U497" s="10" t="str">
        <f>HYPERLINK("https://pbs.twimg.com/profile_images/1061229593758257153/rePCQt08.jpg","View")</f>
        <v>View</v>
      </c>
    </row>
    <row r="498" spans="1:21" ht="51">
      <c r="A498" s="6">
        <v>43423.863750000004</v>
      </c>
      <c r="B498" s="7" t="str">
        <f>HYPERLINK("https://twitter.com/CANAL33","@CANAL33")</f>
        <v>@CANAL33</v>
      </c>
      <c r="C498" s="8" t="s">
        <v>1814</v>
      </c>
      <c r="D498" s="9" t="s">
        <v>1815</v>
      </c>
      <c r="E498" s="10" t="str">
        <f>HYPERLINK("https://twitter.com/CANAL33/status/1064605179054571522","1064605179054571522")</f>
        <v>1064605179054571522</v>
      </c>
      <c r="F498" s="12"/>
      <c r="G498" s="11" t="s">
        <v>1816</v>
      </c>
      <c r="H498" s="12"/>
      <c r="I498" s="13">
        <v>4</v>
      </c>
      <c r="J498" s="13">
        <v>6</v>
      </c>
      <c r="K498" s="14" t="str">
        <f>HYPERLINK("http://twitter.com/#!/download/ipad","Twitter for iPad")</f>
        <v>Twitter for iPad</v>
      </c>
      <c r="L498" s="13">
        <v>4251</v>
      </c>
      <c r="M498" s="13">
        <v>885</v>
      </c>
      <c r="N498" s="13">
        <v>128</v>
      </c>
      <c r="O498" s="15"/>
      <c r="P498" s="6">
        <v>39269.744490740741</v>
      </c>
      <c r="Q498" s="16" t="s">
        <v>104</v>
      </c>
      <c r="R498" s="17" t="s">
        <v>1817</v>
      </c>
      <c r="S498" s="11" t="s">
        <v>1818</v>
      </c>
      <c r="T498" s="12"/>
      <c r="U498" s="10" t="str">
        <f>HYPERLINK("https://pbs.twimg.com/profile_images/1019506271907667968/srxePgiS.jpg","View")</f>
        <v>View</v>
      </c>
    </row>
    <row r="499" spans="1:21" ht="51">
      <c r="A499" s="6">
        <v>43423.850428240738</v>
      </c>
      <c r="B499" s="7" t="str">
        <f>HYPERLINK("https://twitter.com/Soyignominioso","@Soyignominioso")</f>
        <v>@Soyignominioso</v>
      </c>
      <c r="C499" s="8" t="s">
        <v>1821</v>
      </c>
      <c r="D499" s="9" t="s">
        <v>1822</v>
      </c>
      <c r="E499" s="10" t="str">
        <f>HYPERLINK("https://twitter.com/Soyignominioso/status/1064600349770690567","1064600349770690567")</f>
        <v>1064600349770690567</v>
      </c>
      <c r="F499" s="11" t="s">
        <v>1823</v>
      </c>
      <c r="G499" s="11" t="s">
        <v>1824</v>
      </c>
      <c r="H499" s="12"/>
      <c r="I499" s="13">
        <v>0</v>
      </c>
      <c r="J499" s="13">
        <v>0</v>
      </c>
      <c r="K499" s="14" t="str">
        <f>HYPERLINK("http://twitter.com/download/android","Twitter for Android")</f>
        <v>Twitter for Android</v>
      </c>
      <c r="L499" s="13">
        <v>316</v>
      </c>
      <c r="M499" s="13">
        <v>129</v>
      </c>
      <c r="N499" s="13">
        <v>7</v>
      </c>
      <c r="O499" s="15"/>
      <c r="P499" s="6">
        <v>43006.364537037036</v>
      </c>
      <c r="Q499" s="16" t="s">
        <v>1825</v>
      </c>
      <c r="R499" s="17" t="s">
        <v>1826</v>
      </c>
      <c r="S499" s="12"/>
      <c r="T499" s="12"/>
      <c r="U499" s="10" t="str">
        <f>HYPERLINK("https://pbs.twimg.com/profile_images/1056226050835968000/xc9iUc9D.jpg","View")</f>
        <v>View</v>
      </c>
    </row>
    <row r="500" spans="1:21" ht="102">
      <c r="A500" s="6">
        <v>43423.829525462963</v>
      </c>
      <c r="B500" s="7" t="str">
        <f>HYPERLINK("https://twitter.com/Realidazando","@Realidazando")</f>
        <v>@Realidazando</v>
      </c>
      <c r="C500" s="8" t="s">
        <v>1828</v>
      </c>
      <c r="D500" s="9" t="s">
        <v>1829</v>
      </c>
      <c r="E500" s="10" t="str">
        <f>HYPERLINK("https://twitter.com/Realidazando/status/1064592773423251458","1064592773423251458")</f>
        <v>1064592773423251458</v>
      </c>
      <c r="F500" s="11" t="s">
        <v>1685</v>
      </c>
      <c r="G500" s="11" t="s">
        <v>1686</v>
      </c>
      <c r="H500" s="12"/>
      <c r="I500" s="13">
        <v>3</v>
      </c>
      <c r="J500" s="13">
        <v>4</v>
      </c>
      <c r="K500" s="14" t="str">
        <f>HYPERLINK("http://twitter.com","Twitter Web Client")</f>
        <v>Twitter Web Client</v>
      </c>
      <c r="L500" s="13">
        <v>1424</v>
      </c>
      <c r="M500" s="13">
        <v>1569</v>
      </c>
      <c r="N500" s="13">
        <v>4</v>
      </c>
      <c r="O500" s="15"/>
      <c r="P500" s="6">
        <v>42877.47755787037</v>
      </c>
      <c r="Q500" s="12"/>
      <c r="R500" s="17" t="s">
        <v>1831</v>
      </c>
      <c r="S500" s="12"/>
      <c r="T500" s="12"/>
      <c r="U500" s="10" t="str">
        <f>HYPERLINK("https://pbs.twimg.com/profile_images/1023845303810760704/TKAqLstU.jpg","View")</f>
        <v>View</v>
      </c>
    </row>
    <row r="501" spans="1:21" ht="40.799999999999997">
      <c r="A501" s="6">
        <v>43423.825937500005</v>
      </c>
      <c r="B501" s="7" t="str">
        <f>HYPERLINK("https://twitter.com/vox_jerezfra","@vox_jerezfra")</f>
        <v>@vox_jerezfra</v>
      </c>
      <c r="C501" s="8" t="s">
        <v>1833</v>
      </c>
      <c r="D501" s="9" t="s">
        <v>1834</v>
      </c>
      <c r="E501" s="10" t="str">
        <f>HYPERLINK("https://twitter.com/vox_jerezfra/status/1064591474313084928","1064591474313084928")</f>
        <v>1064591474313084928</v>
      </c>
      <c r="F501" s="12"/>
      <c r="G501" s="11" t="s">
        <v>1835</v>
      </c>
      <c r="H501" s="12"/>
      <c r="I501" s="13">
        <v>19</v>
      </c>
      <c r="J501" s="13">
        <v>31</v>
      </c>
      <c r="K501" s="14" t="str">
        <f t="shared" ref="K501:K503" si="166">HYPERLINK("http://twitter.com/download/android","Twitter for Android")</f>
        <v>Twitter for Android</v>
      </c>
      <c r="L501" s="13">
        <v>1317</v>
      </c>
      <c r="M501" s="13">
        <v>516</v>
      </c>
      <c r="N501" s="13">
        <v>6</v>
      </c>
      <c r="O501" s="15"/>
      <c r="P501" s="6">
        <v>42100.984710648147</v>
      </c>
      <c r="Q501" s="16" t="s">
        <v>904</v>
      </c>
      <c r="R501" s="17" t="s">
        <v>1552</v>
      </c>
      <c r="S501" s="11" t="s">
        <v>1553</v>
      </c>
      <c r="T501" s="12"/>
      <c r="U501" s="10" t="str">
        <f>HYPERLINK("https://pbs.twimg.com/profile_images/585195318259617793/z1p3jwXC.jpg","View")</f>
        <v>View</v>
      </c>
    </row>
    <row r="502" spans="1:21" ht="40.799999999999997">
      <c r="A502" s="6">
        <v>43423.823437500003</v>
      </c>
      <c r="B502" s="7" t="str">
        <f>HYPERLINK("https://twitter.com/JoseMedrano21xr","@JoseMedrano21xr")</f>
        <v>@JoseMedrano21xr</v>
      </c>
      <c r="C502" s="8" t="s">
        <v>1836</v>
      </c>
      <c r="D502" s="9" t="s">
        <v>1837</v>
      </c>
      <c r="E502" s="10" t="str">
        <f>HYPERLINK("https://twitter.com/JoseMedrano21xr/status/1064590567831728128","1064590567831728128")</f>
        <v>1064590567831728128</v>
      </c>
      <c r="F502" s="12"/>
      <c r="G502" s="12"/>
      <c r="H502" s="12"/>
      <c r="I502" s="13">
        <v>0</v>
      </c>
      <c r="J502" s="13">
        <v>0</v>
      </c>
      <c r="K502" s="14" t="str">
        <f t="shared" si="166"/>
        <v>Twitter for Android</v>
      </c>
      <c r="L502" s="13">
        <v>396</v>
      </c>
      <c r="M502" s="13">
        <v>334</v>
      </c>
      <c r="N502" s="13">
        <v>8</v>
      </c>
      <c r="O502" s="15"/>
      <c r="P502" s="6">
        <v>40849.850173611107</v>
      </c>
      <c r="Q502" s="16" t="s">
        <v>1838</v>
      </c>
      <c r="R502" s="17" t="s">
        <v>1839</v>
      </c>
      <c r="S502" s="12"/>
      <c r="T502" s="12"/>
      <c r="U502" s="10" t="str">
        <f>HYPERLINK("https://pbs.twimg.com/profile_images/915264743585263616/sdeKEuQK.jpg","View")</f>
        <v>View</v>
      </c>
    </row>
    <row r="503" spans="1:21" ht="30.6">
      <c r="A503" s="6">
        <v>43423.81149305556</v>
      </c>
      <c r="B503" s="7" t="str">
        <f>HYPERLINK("https://twitter.com/DulceNH_","@DulceNH_")</f>
        <v>@DulceNH_</v>
      </c>
      <c r="C503" s="8" t="s">
        <v>1840</v>
      </c>
      <c r="D503" s="9" t="s">
        <v>1841</v>
      </c>
      <c r="E503" s="10" t="str">
        <f>HYPERLINK("https://twitter.com/DulceNH_/status/1064586240392130560","1064586240392130560")</f>
        <v>1064586240392130560</v>
      </c>
      <c r="F503" s="12"/>
      <c r="G503" s="12"/>
      <c r="H503" s="12"/>
      <c r="I503" s="13">
        <v>0</v>
      </c>
      <c r="J503" s="13">
        <v>0</v>
      </c>
      <c r="K503" s="14" t="str">
        <f t="shared" si="166"/>
        <v>Twitter for Android</v>
      </c>
      <c r="L503" s="13">
        <v>2531</v>
      </c>
      <c r="M503" s="13">
        <v>650</v>
      </c>
      <c r="N503" s="13">
        <v>42</v>
      </c>
      <c r="O503" s="15"/>
      <c r="P503" s="6">
        <v>40684.003472222219</v>
      </c>
      <c r="Q503" s="12"/>
      <c r="R503" s="17" t="s">
        <v>1842</v>
      </c>
      <c r="S503" s="11" t="s">
        <v>1843</v>
      </c>
      <c r="T503" s="12"/>
      <c r="U503" s="10" t="str">
        <f>HYPERLINK("https://pbs.twimg.com/profile_images/1063384472203210753/4s31_VFK.jpg","View")</f>
        <v>View</v>
      </c>
    </row>
    <row r="504" spans="1:21" ht="51">
      <c r="A504" s="6">
        <v>43423.787962962961</v>
      </c>
      <c r="B504" s="7" t="str">
        <f>HYPERLINK("https://twitter.com/RadioSick","@RadioSick")</f>
        <v>@RadioSick</v>
      </c>
      <c r="C504" s="8" t="s">
        <v>1844</v>
      </c>
      <c r="D504" s="9" t="s">
        <v>1845</v>
      </c>
      <c r="E504" s="10" t="str">
        <f>HYPERLINK("https://twitter.com/RadioSick/status/1064577713967648768","1064577713967648768")</f>
        <v>1064577713967648768</v>
      </c>
      <c r="F504" s="12"/>
      <c r="G504" s="11" t="s">
        <v>1846</v>
      </c>
      <c r="H504" s="12"/>
      <c r="I504" s="13">
        <v>0</v>
      </c>
      <c r="J504" s="13">
        <v>3</v>
      </c>
      <c r="K504" s="14" t="str">
        <f>HYPERLINK("http://twitter.com","Twitter Web Client")</f>
        <v>Twitter Web Client</v>
      </c>
      <c r="L504" s="13">
        <v>208</v>
      </c>
      <c r="M504" s="13">
        <v>667</v>
      </c>
      <c r="N504" s="13">
        <v>8</v>
      </c>
      <c r="O504" s="15"/>
      <c r="P504" s="6">
        <v>40133.722442129627</v>
      </c>
      <c r="Q504" s="16" t="s">
        <v>104</v>
      </c>
      <c r="R504" s="17" t="s">
        <v>1847</v>
      </c>
      <c r="S504" s="11" t="s">
        <v>1848</v>
      </c>
      <c r="T504" s="12"/>
      <c r="U504" s="10" t="str">
        <f>HYPERLINK("https://pbs.twimg.com/profile_images/1064955603120996353/fG_NI8dJ.jpg","View")</f>
        <v>View</v>
      </c>
    </row>
    <row r="505" spans="1:21" ht="30.6">
      <c r="A505" s="6">
        <v>43423.782523148147</v>
      </c>
      <c r="B505" s="7" t="str">
        <f>HYPERLINK("https://twitter.com/aezkiaga","@aezkiaga")</f>
        <v>@aezkiaga</v>
      </c>
      <c r="C505" s="8" t="s">
        <v>1849</v>
      </c>
      <c r="D505" s="9" t="s">
        <v>1850</v>
      </c>
      <c r="E505" s="10" t="str">
        <f>HYPERLINK("https://twitter.com/aezkiaga/status/1064575741990502406","1064575741990502406")</f>
        <v>1064575741990502406</v>
      </c>
      <c r="F505" s="12"/>
      <c r="G505" s="11" t="s">
        <v>1851</v>
      </c>
      <c r="H505" s="12"/>
      <c r="I505" s="13">
        <v>5</v>
      </c>
      <c r="J505" s="13">
        <v>1</v>
      </c>
      <c r="K505" s="14" t="str">
        <f t="shared" ref="K505:K506" si="167">HYPERLINK("http://twitter.com/download/android","Twitter for Android")</f>
        <v>Twitter for Android</v>
      </c>
      <c r="L505" s="13">
        <v>591</v>
      </c>
      <c r="M505" s="13">
        <v>183</v>
      </c>
      <c r="N505" s="13">
        <v>15</v>
      </c>
      <c r="O505" s="15"/>
      <c r="P505" s="6">
        <v>40671.401909722219</v>
      </c>
      <c r="Q505" s="16" t="s">
        <v>1852</v>
      </c>
      <c r="R505" s="17" t="s">
        <v>1853</v>
      </c>
      <c r="S505" s="11" t="s">
        <v>1854</v>
      </c>
      <c r="T505" s="12"/>
      <c r="U505" s="10" t="str">
        <f>HYPERLINK("https://pbs.twimg.com/profile_images/1059557372916625409/ybVMknCs.jpg","View")</f>
        <v>View</v>
      </c>
    </row>
    <row r="506" spans="1:21" ht="51">
      <c r="A506" s="6">
        <v>43423.781273148154</v>
      </c>
      <c r="B506" s="7" t="str">
        <f>HYPERLINK("https://twitter.com/vox_jerezfra","@vox_jerezfra")</f>
        <v>@vox_jerezfra</v>
      </c>
      <c r="C506" s="8" t="s">
        <v>1833</v>
      </c>
      <c r="D506" s="9" t="s">
        <v>1855</v>
      </c>
      <c r="E506" s="10" t="str">
        <f>HYPERLINK("https://twitter.com/vox_jerezfra/status/1064575291023126529","1064575291023126529")</f>
        <v>1064575291023126529</v>
      </c>
      <c r="F506" s="12"/>
      <c r="G506" s="11" t="s">
        <v>1856</v>
      </c>
      <c r="H506" s="12"/>
      <c r="I506" s="13">
        <v>7</v>
      </c>
      <c r="J506" s="13">
        <v>10</v>
      </c>
      <c r="K506" s="14" t="str">
        <f t="shared" si="167"/>
        <v>Twitter for Android</v>
      </c>
      <c r="L506" s="13">
        <v>1317</v>
      </c>
      <c r="M506" s="13">
        <v>516</v>
      </c>
      <c r="N506" s="13">
        <v>6</v>
      </c>
      <c r="O506" s="15"/>
      <c r="P506" s="6">
        <v>42100.984710648147</v>
      </c>
      <c r="Q506" s="16" t="s">
        <v>904</v>
      </c>
      <c r="R506" s="17" t="s">
        <v>1552</v>
      </c>
      <c r="S506" s="11" t="s">
        <v>1553</v>
      </c>
      <c r="T506" s="12"/>
      <c r="U506" s="10" t="str">
        <f>HYPERLINK("https://pbs.twimg.com/profile_images/585195318259617793/z1p3jwXC.jpg","View")</f>
        <v>View</v>
      </c>
    </row>
    <row r="507" spans="1:21" ht="91.8">
      <c r="A507" s="6">
        <v>43423.781041666662</v>
      </c>
      <c r="B507" s="7" t="str">
        <f>HYPERLINK("https://twitter.com/Antonio29407099","@Antonio29407099")</f>
        <v>@Antonio29407099</v>
      </c>
      <c r="C507" s="8" t="s">
        <v>1371</v>
      </c>
      <c r="D507" s="9" t="s">
        <v>1857</v>
      </c>
      <c r="E507" s="10" t="str">
        <f>HYPERLINK("https://twitter.com/Antonio29407099/status/1064575206298132481","1064575206298132481")</f>
        <v>1064575206298132481</v>
      </c>
      <c r="F507" s="11" t="s">
        <v>1858</v>
      </c>
      <c r="G507" s="11" t="s">
        <v>1859</v>
      </c>
      <c r="H507" s="12"/>
      <c r="I507" s="13">
        <v>0</v>
      </c>
      <c r="J507" s="13">
        <v>1</v>
      </c>
      <c r="K507" s="14" t="str">
        <f t="shared" ref="K507:K508" si="168">HYPERLINK("http://twitter.com","Twitter Web Client")</f>
        <v>Twitter Web Client</v>
      </c>
      <c r="L507" s="13">
        <v>408</v>
      </c>
      <c r="M507" s="13">
        <v>420</v>
      </c>
      <c r="N507" s="13">
        <v>8</v>
      </c>
      <c r="O507" s="15"/>
      <c r="P507" s="6">
        <v>40986.32503472222</v>
      </c>
      <c r="Q507" s="16" t="s">
        <v>1117</v>
      </c>
      <c r="R507" s="17" t="s">
        <v>1372</v>
      </c>
      <c r="S507" s="12"/>
      <c r="T507" s="12"/>
      <c r="U507" s="10" t="str">
        <f>HYPERLINK("https://pbs.twimg.com/profile_images/1065943948890382336/j9ezRSrk.jpg","View")</f>
        <v>View</v>
      </c>
    </row>
    <row r="508" spans="1:21" ht="20.399999999999999">
      <c r="A508" s="6">
        <v>43423.773576388892</v>
      </c>
      <c r="B508" s="7" t="str">
        <f>HYPERLINK("https://twitter.com/JosepLCardo","@JosepLCardo")</f>
        <v>@JosepLCardo</v>
      </c>
      <c r="C508" s="8" t="s">
        <v>1401</v>
      </c>
      <c r="D508" s="9" t="s">
        <v>1403</v>
      </c>
      <c r="E508" s="10" t="str">
        <f>HYPERLINK("https://twitter.com/JosepLCardo/status/1064572500674338817","1064572500674338817")</f>
        <v>1064572500674338817</v>
      </c>
      <c r="F508" s="12"/>
      <c r="G508" s="12"/>
      <c r="H508" s="12"/>
      <c r="I508" s="13">
        <v>0</v>
      </c>
      <c r="J508" s="13">
        <v>0</v>
      </c>
      <c r="K508" s="14" t="str">
        <f t="shared" si="168"/>
        <v>Twitter Web Client</v>
      </c>
      <c r="L508" s="13">
        <v>497</v>
      </c>
      <c r="M508" s="13">
        <v>2035</v>
      </c>
      <c r="N508" s="13">
        <v>6</v>
      </c>
      <c r="O508" s="15"/>
      <c r="P508" s="6">
        <v>40706.83699074074</v>
      </c>
      <c r="Q508" s="16" t="s">
        <v>1405</v>
      </c>
      <c r="R508" s="17" t="s">
        <v>1406</v>
      </c>
      <c r="S508" s="11" t="s">
        <v>1407</v>
      </c>
      <c r="T508" s="12"/>
      <c r="U508" s="10" t="str">
        <f>HYPERLINK("https://pbs.twimg.com/profile_images/1064444034477895680/2b9j2aNN.jpg","View")</f>
        <v>View</v>
      </c>
    </row>
    <row r="509" spans="1:21" ht="20.399999999999999">
      <c r="A509" s="6">
        <v>43423.77208333333</v>
      </c>
      <c r="B509" s="7" t="str">
        <f>HYPERLINK("https://twitter.com/PolBarrera5","@PolBarrera5")</f>
        <v>@PolBarrera5</v>
      </c>
      <c r="C509" s="8" t="s">
        <v>2187</v>
      </c>
      <c r="D509" s="9" t="s">
        <v>2188</v>
      </c>
      <c r="E509" s="10" t="str">
        <f>HYPERLINK("https://twitter.com/PolBarrera5/status/1064571959214833666","1064571959214833666")</f>
        <v>1064571959214833666</v>
      </c>
      <c r="F509" s="12"/>
      <c r="G509" s="11" t="s">
        <v>2191</v>
      </c>
      <c r="H509" s="12"/>
      <c r="I509" s="13">
        <v>0</v>
      </c>
      <c r="J509" s="13">
        <v>0</v>
      </c>
      <c r="K509" s="14" t="str">
        <f>HYPERLINK("http://twitter.com/download/android","Twitter for Android")</f>
        <v>Twitter for Android</v>
      </c>
      <c r="L509" s="13">
        <v>130</v>
      </c>
      <c r="M509" s="13">
        <v>134</v>
      </c>
      <c r="N509" s="13">
        <v>1</v>
      </c>
      <c r="O509" s="15"/>
      <c r="P509" s="6">
        <v>41394.872453703705</v>
      </c>
      <c r="Q509" s="16" t="s">
        <v>1204</v>
      </c>
      <c r="R509" s="17" t="s">
        <v>2194</v>
      </c>
      <c r="S509" s="12"/>
      <c r="T509" s="12"/>
      <c r="U509" s="10" t="str">
        <f>HYPERLINK("https://pbs.twimg.com/profile_images/1052939776318431232/BbHaNKng.jpg","View")</f>
        <v>View</v>
      </c>
    </row>
    <row r="510" spans="1:21" ht="40.799999999999997">
      <c r="A510" s="6">
        <v>43423.770833333328</v>
      </c>
      <c r="B510" s="7" t="str">
        <f>HYPERLINK("https://twitter.com/Alternativa_VOX","@Alternativa_VOX")</f>
        <v>@Alternativa_VOX</v>
      </c>
      <c r="C510" s="8" t="s">
        <v>977</v>
      </c>
      <c r="D510" s="9" t="s">
        <v>115</v>
      </c>
      <c r="E510" s="10" t="str">
        <f>HYPERLINK("https://twitter.com/Alternativa_VOX/status/1064571506599043074","1064571506599043074")</f>
        <v>1064571506599043074</v>
      </c>
      <c r="F510" s="12"/>
      <c r="G510" s="11" t="s">
        <v>1859</v>
      </c>
      <c r="H510" s="12"/>
      <c r="I510" s="13">
        <v>278</v>
      </c>
      <c r="J510" s="13">
        <v>481</v>
      </c>
      <c r="K510" s="14" t="str">
        <f>HYPERLINK("http://twitter.com/download/iphone","Twitter for iPhone")</f>
        <v>Twitter for iPhone</v>
      </c>
      <c r="L510" s="13">
        <v>14295</v>
      </c>
      <c r="M510" s="13">
        <v>2342</v>
      </c>
      <c r="N510" s="13">
        <v>63</v>
      </c>
      <c r="O510" s="15"/>
      <c r="P510" s="6">
        <v>42414.677303240736</v>
      </c>
      <c r="Q510" s="12"/>
      <c r="R510" s="17" t="s">
        <v>981</v>
      </c>
      <c r="S510" s="12"/>
      <c r="T510" s="12"/>
      <c r="U510" s="10" t="str">
        <f>HYPERLINK("https://pbs.twimg.com/profile_images/1054080233844936705/IYgqsUMs.jpg","View")</f>
        <v>View</v>
      </c>
    </row>
    <row r="511" spans="1:21" ht="40.799999999999997">
      <c r="A511" s="6">
        <v>43423.759409722217</v>
      </c>
      <c r="B511" s="7" t="str">
        <f>HYPERLINK("https://twitter.com/jfabregues","@jfabregues")</f>
        <v>@jfabregues</v>
      </c>
      <c r="C511" s="8" t="s">
        <v>1861</v>
      </c>
      <c r="D511" s="9" t="s">
        <v>1862</v>
      </c>
      <c r="E511" s="10" t="str">
        <f>HYPERLINK("https://twitter.com/jfabregues/status/1064567366380646401","1064567366380646401")</f>
        <v>1064567366380646401</v>
      </c>
      <c r="F511" s="16" t="s">
        <v>1863</v>
      </c>
      <c r="G511" s="11" t="s">
        <v>1864</v>
      </c>
      <c r="H511" s="12"/>
      <c r="I511" s="13">
        <v>3</v>
      </c>
      <c r="J511" s="13">
        <v>1</v>
      </c>
      <c r="K511" s="14" t="str">
        <f t="shared" ref="K511:K512" si="169">HYPERLINK("http://twitter.com/download/android","Twitter for Android")</f>
        <v>Twitter for Android</v>
      </c>
      <c r="L511" s="13">
        <v>1441</v>
      </c>
      <c r="M511" s="13">
        <v>2158</v>
      </c>
      <c r="N511" s="13">
        <v>33</v>
      </c>
      <c r="O511" s="15"/>
      <c r="P511" s="6">
        <v>40631.756736111114</v>
      </c>
      <c r="Q511" s="16" t="s">
        <v>1865</v>
      </c>
      <c r="R511" s="17" t="s">
        <v>1866</v>
      </c>
      <c r="S511" s="11" t="s">
        <v>1867</v>
      </c>
      <c r="T511" s="12"/>
      <c r="U511" s="10" t="str">
        <f>HYPERLINK("https://pbs.twimg.com/profile_images/928706857467817985/X3LQBGHp.jpg","View")</f>
        <v>View</v>
      </c>
    </row>
    <row r="512" spans="1:21" ht="81.599999999999994">
      <c r="A512" s="6">
        <v>43423.753055555557</v>
      </c>
      <c r="B512" s="7" t="str">
        <f>HYPERLINK("https://twitter.com/Dieego89","@Dieego89")</f>
        <v>@Dieego89</v>
      </c>
      <c r="C512" s="8" t="s">
        <v>1868</v>
      </c>
      <c r="D512" s="9" t="s">
        <v>1869</v>
      </c>
      <c r="E512" s="10" t="str">
        <f>HYPERLINK("https://twitter.com/Dieego89/status/1064565065372876800","1064565065372876800")</f>
        <v>1064565065372876800</v>
      </c>
      <c r="F512" s="11" t="s">
        <v>1685</v>
      </c>
      <c r="G512" s="11" t="s">
        <v>1686</v>
      </c>
      <c r="H512" s="12"/>
      <c r="I512" s="13">
        <v>0</v>
      </c>
      <c r="J512" s="13">
        <v>0</v>
      </c>
      <c r="K512" s="14" t="str">
        <f t="shared" si="169"/>
        <v>Twitter for Android</v>
      </c>
      <c r="L512" s="13">
        <v>325</v>
      </c>
      <c r="M512" s="13">
        <v>523</v>
      </c>
      <c r="N512" s="13">
        <v>8</v>
      </c>
      <c r="O512" s="15"/>
      <c r="P512" s="6">
        <v>40682.880925925929</v>
      </c>
      <c r="Q512" s="12"/>
      <c r="R512" s="17" t="s">
        <v>1870</v>
      </c>
      <c r="S512" s="12"/>
      <c r="T512" s="12"/>
      <c r="U512" s="10" t="str">
        <f>HYPERLINK("https://pbs.twimg.com/profile_images/1053640218748862464/b2rAmddU.jpg","View")</f>
        <v>View</v>
      </c>
    </row>
    <row r="513" spans="1:21" ht="40.799999999999997">
      <c r="A513" s="6">
        <v>43423.730486111112</v>
      </c>
      <c r="B513" s="7" t="str">
        <f>HYPERLINK("https://twitter.com/AlexAvenida","@AlexAvenida")</f>
        <v>@AlexAvenida</v>
      </c>
      <c r="C513" s="8" t="s">
        <v>1871</v>
      </c>
      <c r="D513" s="9" t="s">
        <v>1872</v>
      </c>
      <c r="E513" s="10" t="str">
        <f>HYPERLINK("https://twitter.com/AlexAvenida/status/1064556882751356928","1064556882751356928")</f>
        <v>1064556882751356928</v>
      </c>
      <c r="F513" s="11" t="s">
        <v>1873</v>
      </c>
      <c r="G513" s="11" t="s">
        <v>1874</v>
      </c>
      <c r="H513" s="12"/>
      <c r="I513" s="13">
        <v>0</v>
      </c>
      <c r="J513" s="13">
        <v>0</v>
      </c>
      <c r="K513" s="14" t="str">
        <f>HYPERLINK("http://twitter.com","Twitter Web Client")</f>
        <v>Twitter Web Client</v>
      </c>
      <c r="L513" s="13">
        <v>1706</v>
      </c>
      <c r="M513" s="13">
        <v>2616</v>
      </c>
      <c r="N513" s="13">
        <v>28</v>
      </c>
      <c r="O513" s="15"/>
      <c r="P513" s="6">
        <v>40658.882407407407</v>
      </c>
      <c r="Q513" s="16" t="s">
        <v>1875</v>
      </c>
      <c r="R513" s="17" t="s">
        <v>1876</v>
      </c>
      <c r="S513" s="11" t="s">
        <v>1877</v>
      </c>
      <c r="T513" s="12"/>
      <c r="U513" s="10" t="str">
        <f>HYPERLINK("https://pbs.twimg.com/profile_images/830581200519589888/aXiaWd9A.jpg","View")</f>
        <v>View</v>
      </c>
    </row>
    <row r="514" spans="1:21" ht="20.399999999999999">
      <c r="A514" s="6">
        <v>43423.727719907409</v>
      </c>
      <c r="B514" s="7" t="str">
        <f>HYPERLINK("https://twitter.com/lunadebenidorm","@lunadebenidorm")</f>
        <v>@lunadebenidorm</v>
      </c>
      <c r="C514" s="8" t="s">
        <v>106</v>
      </c>
      <c r="D514" s="9" t="s">
        <v>1878</v>
      </c>
      <c r="E514" s="10" t="str">
        <f>HYPERLINK("https://twitter.com/lunadebenidorm/status/1064555881881395200","1064555881881395200")</f>
        <v>1064555881881395200</v>
      </c>
      <c r="F514" s="12"/>
      <c r="G514" s="11" t="s">
        <v>1879</v>
      </c>
      <c r="H514" s="12"/>
      <c r="I514" s="13">
        <v>0</v>
      </c>
      <c r="J514" s="13">
        <v>1</v>
      </c>
      <c r="K514" s="14" t="str">
        <f>HYPERLINK("http://twitter.com/download/android","Twitter for Android")</f>
        <v>Twitter for Android</v>
      </c>
      <c r="L514" s="13">
        <v>3991</v>
      </c>
      <c r="M514" s="13">
        <v>3978</v>
      </c>
      <c r="N514" s="13">
        <v>79</v>
      </c>
      <c r="O514" s="15"/>
      <c r="P514" s="6">
        <v>41461.81186342593</v>
      </c>
      <c r="Q514" s="12"/>
      <c r="R514" s="17" t="s">
        <v>108</v>
      </c>
      <c r="S514" s="12"/>
      <c r="T514" s="12"/>
      <c r="U514" s="10" t="str">
        <f>HYPERLINK("https://pbs.twimg.com/profile_images/1061229593758257153/rePCQt08.jpg","View")</f>
        <v>View</v>
      </c>
    </row>
    <row r="515" spans="1:21" ht="51">
      <c r="A515" s="6">
        <v>43423.722314814819</v>
      </c>
      <c r="B515" s="7" t="str">
        <f>HYPERLINK("https://twitter.com/derechanacional","@derechanacional")</f>
        <v>@derechanacional</v>
      </c>
      <c r="C515" s="8" t="s">
        <v>1880</v>
      </c>
      <c r="D515" s="9" t="s">
        <v>1881</v>
      </c>
      <c r="E515" s="10" t="str">
        <f>HYPERLINK("https://twitter.com/derechanacional/status/1064553925695684609","1064553925695684609")</f>
        <v>1064553925695684609</v>
      </c>
      <c r="F515" s="16" t="s">
        <v>1882</v>
      </c>
      <c r="G515" s="12"/>
      <c r="H515" s="12"/>
      <c r="I515" s="13">
        <v>0</v>
      </c>
      <c r="J515" s="13">
        <v>0</v>
      </c>
      <c r="K515" s="14" t="str">
        <f>HYPERLINK("https://mobile.twitter.com","Twitter Lite")</f>
        <v>Twitter Lite</v>
      </c>
      <c r="L515" s="13">
        <v>12448</v>
      </c>
      <c r="M515" s="13">
        <v>937</v>
      </c>
      <c r="N515" s="13">
        <v>57</v>
      </c>
      <c r="O515" s="15"/>
      <c r="P515" s="6">
        <v>40205.043692129628</v>
      </c>
      <c r="Q515" s="16" t="s">
        <v>44</v>
      </c>
      <c r="R515" s="17" t="s">
        <v>1883</v>
      </c>
      <c r="S515" s="11" t="s">
        <v>1884</v>
      </c>
      <c r="T515" s="12"/>
      <c r="U515" s="10" t="str">
        <f>HYPERLINK("https://pbs.twimg.com/profile_images/1003817558150131713/IX1-gpQG.jpg","View")</f>
        <v>View</v>
      </c>
    </row>
    <row r="516" spans="1:21" ht="51">
      <c r="A516" s="6">
        <v>43423.721053240741</v>
      </c>
      <c r="B516" s="7" t="str">
        <f t="shared" ref="B516:B517" si="170">HYPERLINK("https://twitter.com/lunadebenidorm","@lunadebenidorm")</f>
        <v>@lunadebenidorm</v>
      </c>
      <c r="C516" s="8" t="s">
        <v>106</v>
      </c>
      <c r="D516" s="9" t="s">
        <v>2213</v>
      </c>
      <c r="E516" s="10" t="str">
        <f>HYPERLINK("https://twitter.com/lunadebenidorm/status/1064553467342147586","1064553467342147586")</f>
        <v>1064553467342147586</v>
      </c>
      <c r="F516" s="12"/>
      <c r="G516" s="11" t="s">
        <v>2214</v>
      </c>
      <c r="H516" s="12"/>
      <c r="I516" s="13">
        <v>0</v>
      </c>
      <c r="J516" s="13">
        <v>0</v>
      </c>
      <c r="K516" s="14" t="str">
        <f t="shared" ref="K516:K517" si="171">HYPERLINK("http://twitter.com/download/android","Twitter for Android")</f>
        <v>Twitter for Android</v>
      </c>
      <c r="L516" s="13">
        <v>3991</v>
      </c>
      <c r="M516" s="13">
        <v>3978</v>
      </c>
      <c r="N516" s="13">
        <v>79</v>
      </c>
      <c r="O516" s="15"/>
      <c r="P516" s="6">
        <v>41461.81186342593</v>
      </c>
      <c r="Q516" s="12"/>
      <c r="R516" s="17" t="s">
        <v>108</v>
      </c>
      <c r="S516" s="12"/>
      <c r="T516" s="12"/>
      <c r="U516" s="10" t="str">
        <f t="shared" ref="U516:U517" si="172">HYPERLINK("https://pbs.twimg.com/profile_images/1061229593758257153/rePCQt08.jpg","View")</f>
        <v>View</v>
      </c>
    </row>
    <row r="517" spans="1:21" ht="30.6">
      <c r="A517" s="6">
        <v>43423.717407407406</v>
      </c>
      <c r="B517" s="7" t="str">
        <f t="shared" si="170"/>
        <v>@lunadebenidorm</v>
      </c>
      <c r="C517" s="8" t="s">
        <v>106</v>
      </c>
      <c r="D517" s="9" t="s">
        <v>2220</v>
      </c>
      <c r="E517" s="10" t="str">
        <f>HYPERLINK("https://twitter.com/lunadebenidorm/status/1064552147298209798","1064552147298209798")</f>
        <v>1064552147298209798</v>
      </c>
      <c r="F517" s="12"/>
      <c r="G517" s="11" t="s">
        <v>2221</v>
      </c>
      <c r="H517" s="12"/>
      <c r="I517" s="13">
        <v>0</v>
      </c>
      <c r="J517" s="13">
        <v>1</v>
      </c>
      <c r="K517" s="14" t="str">
        <f t="shared" si="171"/>
        <v>Twitter for Android</v>
      </c>
      <c r="L517" s="13">
        <v>3991</v>
      </c>
      <c r="M517" s="13">
        <v>3978</v>
      </c>
      <c r="N517" s="13">
        <v>79</v>
      </c>
      <c r="O517" s="15"/>
      <c r="P517" s="6">
        <v>41461.81186342593</v>
      </c>
      <c r="Q517" s="12"/>
      <c r="R517" s="17" t="s">
        <v>108</v>
      </c>
      <c r="S517" s="12"/>
      <c r="T517" s="12"/>
      <c r="U517" s="10" t="str">
        <f t="shared" si="172"/>
        <v>View</v>
      </c>
    </row>
    <row r="518" spans="1:21" ht="40.799999999999997">
      <c r="A518" s="6">
        <v>43423.705821759257</v>
      </c>
      <c r="B518" s="7" t="str">
        <f>HYPERLINK("https://twitter.com/loq_digalarubia","@loq_digalarubia")</f>
        <v>@loq_digalarubia</v>
      </c>
      <c r="C518" s="8" t="s">
        <v>219</v>
      </c>
      <c r="D518" s="9" t="s">
        <v>2223</v>
      </c>
      <c r="E518" s="10" t="str">
        <f>HYPERLINK("https://twitter.com/loq_digalarubia/status/1064547948325994496","1064547948325994496")</f>
        <v>1064547948325994496</v>
      </c>
      <c r="F518" s="12"/>
      <c r="G518" s="12"/>
      <c r="H518" s="12"/>
      <c r="I518" s="13">
        <v>0</v>
      </c>
      <c r="J518" s="13">
        <v>7</v>
      </c>
      <c r="K518" s="14" t="str">
        <f>HYPERLINK("http://twitter.com/download/iphone","Twitter for iPhone")</f>
        <v>Twitter for iPhone</v>
      </c>
      <c r="L518" s="13">
        <v>1083</v>
      </c>
      <c r="M518" s="13">
        <v>993</v>
      </c>
      <c r="N518" s="13">
        <v>10</v>
      </c>
      <c r="O518" s="15"/>
      <c r="P518" s="6">
        <v>41441.616898148146</v>
      </c>
      <c r="Q518" s="16" t="s">
        <v>221</v>
      </c>
      <c r="R518" s="17" t="s">
        <v>222</v>
      </c>
      <c r="S518" s="12"/>
      <c r="T518" s="12"/>
      <c r="U518" s="10" t="str">
        <f>HYPERLINK("https://pbs.twimg.com/profile_images/497381656958074880/EhBuuyQC.jpeg","View")</f>
        <v>View</v>
      </c>
    </row>
    <row r="519" spans="1:21" ht="102">
      <c r="A519" s="6">
        <v>43423.699826388889</v>
      </c>
      <c r="B519" s="7" t="str">
        <f>HYPERLINK("https://twitter.com/Mellaman_negro","@Mellaman_negro")</f>
        <v>@Mellaman_negro</v>
      </c>
      <c r="C519" s="8" t="s">
        <v>1886</v>
      </c>
      <c r="D519" s="9" t="s">
        <v>1887</v>
      </c>
      <c r="E519" s="10" t="str">
        <f>HYPERLINK("https://twitter.com/Mellaman_negro/status/1064545774850244608","1064545774850244608")</f>
        <v>1064545774850244608</v>
      </c>
      <c r="F519" s="11" t="s">
        <v>1889</v>
      </c>
      <c r="G519" s="11" t="s">
        <v>1890</v>
      </c>
      <c r="H519" s="12"/>
      <c r="I519" s="13">
        <v>3</v>
      </c>
      <c r="J519" s="13">
        <v>10</v>
      </c>
      <c r="K519" s="14" t="str">
        <f>HYPERLINK("http://twitter.com/download/android","Twitter for Android")</f>
        <v>Twitter for Android</v>
      </c>
      <c r="L519" s="13">
        <v>545</v>
      </c>
      <c r="M519" s="13">
        <v>341</v>
      </c>
      <c r="N519" s="13">
        <v>0</v>
      </c>
      <c r="O519" s="15"/>
      <c r="P519" s="6">
        <v>40789.613518518519</v>
      </c>
      <c r="Q519" s="16" t="s">
        <v>1891</v>
      </c>
      <c r="R519" s="17" t="s">
        <v>1892</v>
      </c>
      <c r="S519" s="11" t="s">
        <v>1893</v>
      </c>
      <c r="T519" s="12"/>
      <c r="U519" s="10" t="str">
        <f>HYPERLINK("https://pbs.twimg.com/profile_images/1048144011406581760/bvrFrXf2.jpg","View")</f>
        <v>View</v>
      </c>
    </row>
    <row r="520" spans="1:21" ht="40.799999999999997">
      <c r="A520" s="6">
        <v>43423.694409722222</v>
      </c>
      <c r="B520" s="7" t="str">
        <f>HYPERLINK("https://twitter.com/amartinquijano","@amartinquijano")</f>
        <v>@amartinquijano</v>
      </c>
      <c r="C520" s="8" t="s">
        <v>1896</v>
      </c>
      <c r="D520" s="9" t="s">
        <v>1897</v>
      </c>
      <c r="E520" s="10" t="str">
        <f>HYPERLINK("https://twitter.com/amartinquijano/status/1064543809458106369","1064543809458106369")</f>
        <v>1064543809458106369</v>
      </c>
      <c r="F520" s="11" t="s">
        <v>1860</v>
      </c>
      <c r="G520" s="12"/>
      <c r="H520" s="12"/>
      <c r="I520" s="13">
        <v>18</v>
      </c>
      <c r="J520" s="13">
        <v>17</v>
      </c>
      <c r="K520" s="14" t="str">
        <f>HYPERLINK("http://twitter.com/download/iphone","Twitter for iPhone")</f>
        <v>Twitter for iPhone</v>
      </c>
      <c r="L520" s="13">
        <v>1699</v>
      </c>
      <c r="M520" s="13">
        <v>3478</v>
      </c>
      <c r="N520" s="13">
        <v>13</v>
      </c>
      <c r="O520" s="15"/>
      <c r="P520" s="6">
        <v>40971.538958333331</v>
      </c>
      <c r="Q520" s="16" t="s">
        <v>1899</v>
      </c>
      <c r="R520" s="17" t="s">
        <v>1900</v>
      </c>
      <c r="S520" s="12"/>
      <c r="T520" s="12"/>
      <c r="U520" s="10" t="str">
        <f>HYPERLINK("https://pbs.twimg.com/profile_images/1063850581440090113/IZxkpEv2.jpg","View")</f>
        <v>View</v>
      </c>
    </row>
    <row r="521" spans="1:21" ht="122.4">
      <c r="A521" s="6">
        <v>43423.68341435185</v>
      </c>
      <c r="B521" s="7" t="str">
        <f>HYPERLINK("https://twitter.com/UlisesGamez10","@UlisesGamez10")</f>
        <v>@UlisesGamez10</v>
      </c>
      <c r="C521" s="8" t="s">
        <v>23</v>
      </c>
      <c r="D521" s="9" t="s">
        <v>1901</v>
      </c>
      <c r="E521" s="10" t="str">
        <f>HYPERLINK("https://twitter.com/UlisesGamez10/status/1064539827289419776","1064539827289419776")</f>
        <v>1064539827289419776</v>
      </c>
      <c r="F521" s="11" t="s">
        <v>1902</v>
      </c>
      <c r="G521" s="11" t="s">
        <v>1903</v>
      </c>
      <c r="H521" s="12"/>
      <c r="I521" s="13">
        <v>0</v>
      </c>
      <c r="J521" s="13">
        <v>1</v>
      </c>
      <c r="K521" s="14" t="str">
        <f t="shared" ref="K521:K522" si="173">HYPERLINK("http://twitter.com/download/android","Twitter for Android")</f>
        <v>Twitter for Android</v>
      </c>
      <c r="L521" s="13">
        <v>1162</v>
      </c>
      <c r="M521" s="13">
        <v>5000</v>
      </c>
      <c r="N521" s="13">
        <v>0</v>
      </c>
      <c r="O521" s="15"/>
      <c r="P521" s="6">
        <v>43190.59783564815</v>
      </c>
      <c r="Q521" s="16" t="s">
        <v>25</v>
      </c>
      <c r="R521" s="17" t="s">
        <v>27</v>
      </c>
      <c r="S521" s="12"/>
      <c r="T521" s="12"/>
      <c r="U521" s="10" t="str">
        <f>HYPERLINK("https://pbs.twimg.com/profile_images/1031158722586980352/ItGPtjBj.jpg","View")</f>
        <v>View</v>
      </c>
    </row>
    <row r="522" spans="1:21" ht="20.399999999999999">
      <c r="A522" s="6">
        <v>43423.673333333332</v>
      </c>
      <c r="B522" s="7" t="str">
        <f>HYPERLINK("https://twitter.com/danibosnio","@danibosnio")</f>
        <v>@danibosnio</v>
      </c>
      <c r="C522" s="8" t="s">
        <v>1904</v>
      </c>
      <c r="D522" s="9" t="s">
        <v>1905</v>
      </c>
      <c r="E522" s="10" t="str">
        <f>HYPERLINK("https://twitter.com/danibosnio/status/1064536175027863552","1064536175027863552")</f>
        <v>1064536175027863552</v>
      </c>
      <c r="F522" s="12"/>
      <c r="G522" s="12"/>
      <c r="H522" s="12"/>
      <c r="I522" s="13">
        <v>1</v>
      </c>
      <c r="J522" s="13">
        <v>1</v>
      </c>
      <c r="K522" s="14" t="str">
        <f t="shared" si="173"/>
        <v>Twitter for Android</v>
      </c>
      <c r="L522" s="13">
        <v>103</v>
      </c>
      <c r="M522" s="13">
        <v>533</v>
      </c>
      <c r="N522" s="13">
        <v>1</v>
      </c>
      <c r="O522" s="15"/>
      <c r="P522" s="6">
        <v>41296.845196759255</v>
      </c>
      <c r="Q522" s="16" t="s">
        <v>1906</v>
      </c>
      <c r="R522" s="17" t="s">
        <v>1907</v>
      </c>
      <c r="S522" s="12"/>
      <c r="T522" s="12"/>
      <c r="U522" s="10" t="str">
        <f>HYPERLINK("https://pbs.twimg.com/profile_images/698924545038819329/KBto3Qj2.jpg","View")</f>
        <v>View</v>
      </c>
    </row>
    <row r="523" spans="1:21" ht="40.799999999999997">
      <c r="A523" s="6">
        <v>43423.670601851853</v>
      </c>
      <c r="B523" s="7" t="str">
        <f>HYPERLINK("https://twitter.com/errefejota","@errefejota")</f>
        <v>@errefejota</v>
      </c>
      <c r="C523" s="8" t="s">
        <v>1908</v>
      </c>
      <c r="D523" s="9" t="s">
        <v>1909</v>
      </c>
      <c r="E523" s="10" t="str">
        <f>HYPERLINK("https://twitter.com/errefejota/status/1064535181883834371","1064535181883834371")</f>
        <v>1064535181883834371</v>
      </c>
      <c r="F523" s="12"/>
      <c r="G523" s="11" t="s">
        <v>1911</v>
      </c>
      <c r="H523" s="12"/>
      <c r="I523" s="13">
        <v>1</v>
      </c>
      <c r="J523" s="13">
        <v>1</v>
      </c>
      <c r="K523" s="14" t="str">
        <f t="shared" ref="K523:K524" si="174">HYPERLINK("http://twitter.com","Twitter Web Client")</f>
        <v>Twitter Web Client</v>
      </c>
      <c r="L523" s="13">
        <v>44</v>
      </c>
      <c r="M523" s="13">
        <v>235</v>
      </c>
      <c r="N523" s="13">
        <v>1</v>
      </c>
      <c r="O523" s="15"/>
      <c r="P523" s="6">
        <v>41904.943067129629</v>
      </c>
      <c r="Q523" s="12"/>
      <c r="R523" s="17" t="s">
        <v>1912</v>
      </c>
      <c r="S523" s="12"/>
      <c r="T523" s="12"/>
      <c r="U523" s="10" t="str">
        <f>HYPERLINK("https://pbs.twimg.com/profile_images/999208215719038977/kbGqy9Q3.jpg","View")</f>
        <v>View</v>
      </c>
    </row>
    <row r="524" spans="1:21" ht="102">
      <c r="A524" s="6">
        <v>43423.666134259256</v>
      </c>
      <c r="B524" s="7" t="str">
        <f>HYPERLINK("https://twitter.com/Commendattore","@Commendattore")</f>
        <v>@Commendattore</v>
      </c>
      <c r="C524" s="8" t="s">
        <v>1913</v>
      </c>
      <c r="D524" s="9" t="s">
        <v>1914</v>
      </c>
      <c r="E524" s="10" t="str">
        <f>HYPERLINK("https://twitter.com/Commendattore/status/1064533565575258114","1064533565575258114")</f>
        <v>1064533565575258114</v>
      </c>
      <c r="F524" s="11" t="s">
        <v>1915</v>
      </c>
      <c r="G524" s="12"/>
      <c r="H524" s="12"/>
      <c r="I524" s="13">
        <v>0</v>
      </c>
      <c r="J524" s="13">
        <v>0</v>
      </c>
      <c r="K524" s="14" t="str">
        <f t="shared" si="174"/>
        <v>Twitter Web Client</v>
      </c>
      <c r="L524" s="13">
        <v>122</v>
      </c>
      <c r="M524" s="13">
        <v>740</v>
      </c>
      <c r="N524" s="13">
        <v>1</v>
      </c>
      <c r="O524" s="15"/>
      <c r="P524" s="6">
        <v>43038.199942129635</v>
      </c>
      <c r="Q524" s="16" t="s">
        <v>1916</v>
      </c>
      <c r="R524" s="17" t="s">
        <v>1917</v>
      </c>
      <c r="S524" s="12"/>
      <c r="T524" s="12"/>
      <c r="U524" s="10" t="str">
        <f>HYPERLINK("https://pbs.twimg.com/profile_images/924846880953126912/6Hflg5nM.jpg","View")</f>
        <v>View</v>
      </c>
    </row>
    <row r="525" spans="1:21" ht="61.2">
      <c r="A525" s="6">
        <v>43423.664618055554</v>
      </c>
      <c r="B525" s="7" t="str">
        <f>HYPERLINK("https://twitter.com/UlisesGamez10","@UlisesGamez10")</f>
        <v>@UlisesGamez10</v>
      </c>
      <c r="C525" s="8" t="s">
        <v>23</v>
      </c>
      <c r="D525" s="9" t="s">
        <v>1918</v>
      </c>
      <c r="E525" s="10" t="str">
        <f>HYPERLINK("https://twitter.com/UlisesGamez10/status/1064533014108139520","1064533014108139520")</f>
        <v>1064533014108139520</v>
      </c>
      <c r="F525" s="12"/>
      <c r="G525" s="12"/>
      <c r="H525" s="12"/>
      <c r="I525" s="13">
        <v>0</v>
      </c>
      <c r="J525" s="13">
        <v>0</v>
      </c>
      <c r="K525" s="14" t="str">
        <f t="shared" ref="K525:K528" si="175">HYPERLINK("http://twitter.com/download/android","Twitter for Android")</f>
        <v>Twitter for Android</v>
      </c>
      <c r="L525" s="13">
        <v>1162</v>
      </c>
      <c r="M525" s="13">
        <v>5000</v>
      </c>
      <c r="N525" s="13">
        <v>0</v>
      </c>
      <c r="O525" s="15"/>
      <c r="P525" s="6">
        <v>43190.59783564815</v>
      </c>
      <c r="Q525" s="16" t="s">
        <v>25</v>
      </c>
      <c r="R525" s="17" t="s">
        <v>27</v>
      </c>
      <c r="S525" s="12"/>
      <c r="T525" s="12"/>
      <c r="U525" s="10" t="str">
        <f>HYPERLINK("https://pbs.twimg.com/profile_images/1031158722586980352/ItGPtjBj.jpg","View")</f>
        <v>View</v>
      </c>
    </row>
    <row r="526" spans="1:21" ht="71.400000000000006">
      <c r="A526" s="6">
        <v>43423.664259259254</v>
      </c>
      <c r="B526" s="7" t="str">
        <f t="shared" ref="B526:B528" si="176">HYPERLINK("https://twitter.com/lunadebenidorm","@lunadebenidorm")</f>
        <v>@lunadebenidorm</v>
      </c>
      <c r="C526" s="8" t="s">
        <v>106</v>
      </c>
      <c r="D526" s="9" t="s">
        <v>1919</v>
      </c>
      <c r="E526" s="10" t="str">
        <f>HYPERLINK("https://twitter.com/lunadebenidorm/status/1064532883149344768","1064532883149344768")</f>
        <v>1064532883149344768</v>
      </c>
      <c r="F526" s="11" t="s">
        <v>1920</v>
      </c>
      <c r="G526" s="11" t="s">
        <v>1921</v>
      </c>
      <c r="H526" s="12"/>
      <c r="I526" s="13">
        <v>0</v>
      </c>
      <c r="J526" s="13">
        <v>1</v>
      </c>
      <c r="K526" s="14" t="str">
        <f t="shared" si="175"/>
        <v>Twitter for Android</v>
      </c>
      <c r="L526" s="13">
        <v>3991</v>
      </c>
      <c r="M526" s="13">
        <v>3978</v>
      </c>
      <c r="N526" s="13">
        <v>79</v>
      </c>
      <c r="O526" s="15"/>
      <c r="P526" s="6">
        <v>41461.81186342593</v>
      </c>
      <c r="Q526" s="12"/>
      <c r="R526" s="17" t="s">
        <v>108</v>
      </c>
      <c r="S526" s="12"/>
      <c r="T526" s="12"/>
      <c r="U526" s="10" t="str">
        <f t="shared" ref="U526:U528" si="177">HYPERLINK("https://pbs.twimg.com/profile_images/1061229593758257153/rePCQt08.jpg","View")</f>
        <v>View</v>
      </c>
    </row>
    <row r="527" spans="1:21" ht="40.799999999999997">
      <c r="A527" s="6">
        <v>43423.662974537037</v>
      </c>
      <c r="B527" s="7" t="str">
        <f t="shared" si="176"/>
        <v>@lunadebenidorm</v>
      </c>
      <c r="C527" s="8" t="s">
        <v>106</v>
      </c>
      <c r="D527" s="9" t="s">
        <v>1922</v>
      </c>
      <c r="E527" s="10" t="str">
        <f>HYPERLINK("https://twitter.com/lunadebenidorm/status/1064532419099983873","1064532419099983873")</f>
        <v>1064532419099983873</v>
      </c>
      <c r="F527" s="11" t="s">
        <v>1923</v>
      </c>
      <c r="G527" s="12"/>
      <c r="H527" s="12"/>
      <c r="I527" s="13">
        <v>0</v>
      </c>
      <c r="J527" s="13">
        <v>0</v>
      </c>
      <c r="K527" s="14" t="str">
        <f t="shared" si="175"/>
        <v>Twitter for Android</v>
      </c>
      <c r="L527" s="13">
        <v>3991</v>
      </c>
      <c r="M527" s="13">
        <v>3978</v>
      </c>
      <c r="N527" s="13">
        <v>79</v>
      </c>
      <c r="O527" s="15"/>
      <c r="P527" s="6">
        <v>41461.81186342593</v>
      </c>
      <c r="Q527" s="12"/>
      <c r="R527" s="17" t="s">
        <v>108</v>
      </c>
      <c r="S527" s="12"/>
      <c r="T527" s="12"/>
      <c r="U527" s="10" t="str">
        <f t="shared" si="177"/>
        <v>View</v>
      </c>
    </row>
    <row r="528" spans="1:21" ht="51">
      <c r="A528" s="6">
        <v>43423.660844907412</v>
      </c>
      <c r="B528" s="7" t="str">
        <f t="shared" si="176"/>
        <v>@lunadebenidorm</v>
      </c>
      <c r="C528" s="8" t="s">
        <v>106</v>
      </c>
      <c r="D528" s="9" t="s">
        <v>1924</v>
      </c>
      <c r="E528" s="10" t="str">
        <f>HYPERLINK("https://twitter.com/lunadebenidorm/status/1064531646781825024","1064531646781825024")</f>
        <v>1064531646781825024</v>
      </c>
      <c r="F528" s="16" t="s">
        <v>1925</v>
      </c>
      <c r="G528" s="12"/>
      <c r="H528" s="12"/>
      <c r="I528" s="13">
        <v>0</v>
      </c>
      <c r="J528" s="13">
        <v>0</v>
      </c>
      <c r="K528" s="14" t="str">
        <f t="shared" si="175"/>
        <v>Twitter for Android</v>
      </c>
      <c r="L528" s="13">
        <v>3991</v>
      </c>
      <c r="M528" s="13">
        <v>3978</v>
      </c>
      <c r="N528" s="13">
        <v>79</v>
      </c>
      <c r="O528" s="15"/>
      <c r="P528" s="6">
        <v>41461.81186342593</v>
      </c>
      <c r="Q528" s="12"/>
      <c r="R528" s="17" t="s">
        <v>108</v>
      </c>
      <c r="S528" s="12"/>
      <c r="T528" s="12"/>
      <c r="U528" s="10" t="str">
        <f t="shared" si="177"/>
        <v>View</v>
      </c>
    </row>
    <row r="529" spans="1:21" ht="102">
      <c r="A529" s="6">
        <v>43423.66028935185</v>
      </c>
      <c r="B529" s="7" t="str">
        <f>HYPERLINK("https://twitter.com/Amni003","@Amni003")</f>
        <v>@Amni003</v>
      </c>
      <c r="C529" s="8" t="s">
        <v>1926</v>
      </c>
      <c r="D529" s="9" t="s">
        <v>1927</v>
      </c>
      <c r="E529" s="10" t="str">
        <f>HYPERLINK("https://twitter.com/Amni003/status/1064531448332513280","1064531448332513280")</f>
        <v>1064531448332513280</v>
      </c>
      <c r="F529" s="11" t="s">
        <v>1928</v>
      </c>
      <c r="G529" s="11" t="s">
        <v>1929</v>
      </c>
      <c r="H529" s="12"/>
      <c r="I529" s="13">
        <v>2</v>
      </c>
      <c r="J529" s="13">
        <v>0</v>
      </c>
      <c r="K529" s="14" t="str">
        <f>HYPERLINK("http://twitter.com","Twitter Web Client")</f>
        <v>Twitter Web Client</v>
      </c>
      <c r="L529" s="13">
        <v>359</v>
      </c>
      <c r="M529" s="13">
        <v>510</v>
      </c>
      <c r="N529" s="13">
        <v>0</v>
      </c>
      <c r="O529" s="15"/>
      <c r="P529" s="6">
        <v>41030.887418981481</v>
      </c>
      <c r="Q529" s="12"/>
      <c r="R529" s="17" t="s">
        <v>1930</v>
      </c>
      <c r="S529" s="12"/>
      <c r="T529" s="12"/>
      <c r="U529" s="10" t="str">
        <f>HYPERLINK("https://pbs.twimg.com/profile_images/926096158929379329/Q7XyG4yS.jpg","View")</f>
        <v>View</v>
      </c>
    </row>
    <row r="530" spans="1:21" ht="13.2">
      <c r="A530" s="6">
        <v>43423.660196759258</v>
      </c>
      <c r="B530" s="7" t="str">
        <f t="shared" ref="B530:B531" si="178">HYPERLINK("https://twitter.com/lunadebenidorm","@lunadebenidorm")</f>
        <v>@lunadebenidorm</v>
      </c>
      <c r="C530" s="8" t="s">
        <v>106</v>
      </c>
      <c r="D530" s="9" t="s">
        <v>1931</v>
      </c>
      <c r="E530" s="10" t="str">
        <f>HYPERLINK("https://twitter.com/lunadebenidorm/status/1064531412777398272","1064531412777398272")</f>
        <v>1064531412777398272</v>
      </c>
      <c r="F530" s="12"/>
      <c r="G530" s="11" t="s">
        <v>1932</v>
      </c>
      <c r="H530" s="12"/>
      <c r="I530" s="13">
        <v>0</v>
      </c>
      <c r="J530" s="13">
        <v>1</v>
      </c>
      <c r="K530" s="14" t="str">
        <f t="shared" ref="K530:K532" si="179">HYPERLINK("http://twitter.com/download/android","Twitter for Android")</f>
        <v>Twitter for Android</v>
      </c>
      <c r="L530" s="13">
        <v>3991</v>
      </c>
      <c r="M530" s="13">
        <v>3978</v>
      </c>
      <c r="N530" s="13">
        <v>79</v>
      </c>
      <c r="O530" s="15"/>
      <c r="P530" s="6">
        <v>41461.81186342593</v>
      </c>
      <c r="Q530" s="12"/>
      <c r="R530" s="17" t="s">
        <v>108</v>
      </c>
      <c r="S530" s="12"/>
      <c r="T530" s="12"/>
      <c r="U530" s="10" t="str">
        <f t="shared" ref="U530:U531" si="180">HYPERLINK("https://pbs.twimg.com/profile_images/1061229593758257153/rePCQt08.jpg","View")</f>
        <v>View</v>
      </c>
    </row>
    <row r="531" spans="1:21" ht="71.400000000000006">
      <c r="A531" s="6">
        <v>43423.659872685181</v>
      </c>
      <c r="B531" s="7" t="str">
        <f t="shared" si="178"/>
        <v>@lunadebenidorm</v>
      </c>
      <c r="C531" s="8" t="s">
        <v>106</v>
      </c>
      <c r="D531" s="9" t="s">
        <v>1933</v>
      </c>
      <c r="E531" s="10" t="str">
        <f>HYPERLINK("https://twitter.com/lunadebenidorm/status/1064531293273239553","1064531293273239553")</f>
        <v>1064531293273239553</v>
      </c>
      <c r="F531" s="11" t="s">
        <v>1934</v>
      </c>
      <c r="G531" s="11" t="s">
        <v>1935</v>
      </c>
      <c r="H531" s="12"/>
      <c r="I531" s="13">
        <v>0</v>
      </c>
      <c r="J531" s="13">
        <v>1</v>
      </c>
      <c r="K531" s="14" t="str">
        <f t="shared" si="179"/>
        <v>Twitter for Android</v>
      </c>
      <c r="L531" s="13">
        <v>3991</v>
      </c>
      <c r="M531" s="13">
        <v>3978</v>
      </c>
      <c r="N531" s="13">
        <v>79</v>
      </c>
      <c r="O531" s="15"/>
      <c r="P531" s="6">
        <v>41461.81186342593</v>
      </c>
      <c r="Q531" s="12"/>
      <c r="R531" s="17" t="s">
        <v>108</v>
      </c>
      <c r="S531" s="12"/>
      <c r="T531" s="12"/>
      <c r="U531" s="10" t="str">
        <f t="shared" si="180"/>
        <v>View</v>
      </c>
    </row>
    <row r="532" spans="1:21" ht="20.399999999999999">
      <c r="A532" s="6">
        <v>43423.658391203702</v>
      </c>
      <c r="B532" s="7" t="str">
        <f>HYPERLINK("https://twitter.com/Clinicalvar","@Clinicalvar")</f>
        <v>@Clinicalvar</v>
      </c>
      <c r="C532" s="8" t="s">
        <v>1936</v>
      </c>
      <c r="D532" s="9" t="s">
        <v>1937</v>
      </c>
      <c r="E532" s="10" t="str">
        <f>HYPERLINK("https://twitter.com/Clinicalvar/status/1064530757769719808","1064530757769719808")</f>
        <v>1064530757769719808</v>
      </c>
      <c r="F532" s="12"/>
      <c r="G532" s="12"/>
      <c r="H532" s="12"/>
      <c r="I532" s="13">
        <v>0</v>
      </c>
      <c r="J532" s="13">
        <v>1</v>
      </c>
      <c r="K532" s="14" t="str">
        <f t="shared" si="179"/>
        <v>Twitter for Android</v>
      </c>
      <c r="L532" s="13">
        <v>208</v>
      </c>
      <c r="M532" s="13">
        <v>210</v>
      </c>
      <c r="N532" s="13">
        <v>0</v>
      </c>
      <c r="O532" s="15"/>
      <c r="P532" s="6">
        <v>43091.755254629628</v>
      </c>
      <c r="Q532" s="16" t="s">
        <v>1938</v>
      </c>
      <c r="R532" s="17" t="s">
        <v>1939</v>
      </c>
      <c r="S532" s="12"/>
      <c r="T532" s="12"/>
      <c r="U532" s="10" t="str">
        <f>HYPERLINK("https://pbs.twimg.com/profile_images/1065702858362781696/G9piZmwo.jpg","View")</f>
        <v>View</v>
      </c>
    </row>
    <row r="533" spans="1:21" ht="51">
      <c r="A533" s="6">
        <v>43423.65625</v>
      </c>
      <c r="B533" s="7" t="str">
        <f>HYPERLINK("https://twitter.com/indpcom","@indpcom")</f>
        <v>@indpcom</v>
      </c>
      <c r="C533" s="8" t="s">
        <v>1753</v>
      </c>
      <c r="D533" s="9" t="s">
        <v>1940</v>
      </c>
      <c r="E533" s="10" t="str">
        <f>HYPERLINK("https://twitter.com/indpcom/status/1064529981819117573","1064529981819117573")</f>
        <v>1064529981819117573</v>
      </c>
      <c r="F533" s="11" t="s">
        <v>1941</v>
      </c>
      <c r="G533" s="12"/>
      <c r="H533" s="12"/>
      <c r="I533" s="13">
        <v>6</v>
      </c>
      <c r="J533" s="13">
        <v>8</v>
      </c>
      <c r="K533" s="14" t="str">
        <f>HYPERLINK("https://about.twitter.com/products/tweetdeck","TweetDeck")</f>
        <v>TweetDeck</v>
      </c>
      <c r="L533" s="13">
        <v>57680</v>
      </c>
      <c r="M533" s="13">
        <v>1302</v>
      </c>
      <c r="N533" s="13">
        <v>1099</v>
      </c>
      <c r="O533" s="23" t="s">
        <v>186</v>
      </c>
      <c r="P533" s="6">
        <v>42537.702719907407</v>
      </c>
      <c r="Q533" s="16" t="s">
        <v>44</v>
      </c>
      <c r="R533" s="17" t="s">
        <v>1756</v>
      </c>
      <c r="S533" s="11" t="s">
        <v>1757</v>
      </c>
      <c r="T533" s="12"/>
      <c r="U533" s="10" t="str">
        <f>HYPERLINK("https://pbs.twimg.com/profile_images/773807977069420544/o4tNI4zQ.jpg","View")</f>
        <v>View</v>
      </c>
    </row>
    <row r="534" spans="1:21" ht="20.399999999999999">
      <c r="A534" s="6">
        <v>43423.650949074072</v>
      </c>
      <c r="B534" s="7" t="str">
        <f>HYPERLINK("https://twitter.com/negativo_stats","@negativo_stats")</f>
        <v>@negativo_stats</v>
      </c>
      <c r="C534" s="8" t="s">
        <v>41</v>
      </c>
      <c r="D534" s="9" t="s">
        <v>42</v>
      </c>
      <c r="E534" s="10" t="str">
        <f>HYPERLINK("https://twitter.com/negativo_stats/status/1064528061981487104","1064528061981487104")</f>
        <v>1064528061981487104</v>
      </c>
      <c r="F534" s="12"/>
      <c r="G534" s="11" t="s">
        <v>1942</v>
      </c>
      <c r="H534" s="12"/>
      <c r="I534" s="13">
        <v>0</v>
      </c>
      <c r="J534" s="13">
        <v>0</v>
      </c>
      <c r="K534" s="14" t="str">
        <f>HYPERLINK("http://kosmonautica.es","Política Negativa")</f>
        <v>Política Negativa</v>
      </c>
      <c r="L534" s="13">
        <v>256</v>
      </c>
      <c r="M534" s="13">
        <v>694</v>
      </c>
      <c r="N534" s="13">
        <v>2</v>
      </c>
      <c r="O534" s="15"/>
      <c r="P534" s="6">
        <v>42171.770601851851</v>
      </c>
      <c r="Q534" s="16" t="s">
        <v>44</v>
      </c>
      <c r="R534" s="17" t="s">
        <v>45</v>
      </c>
      <c r="S534" s="12"/>
      <c r="T534" s="12"/>
      <c r="U534" s="10" t="str">
        <f>HYPERLINK("https://pbs.twimg.com/profile_images/628553625984438272/e-VHyhP1.png","View")</f>
        <v>View</v>
      </c>
    </row>
    <row r="535" spans="1:21" ht="61.2">
      <c r="A535" s="6">
        <v>43423.641747685186</v>
      </c>
      <c r="B535" s="7" t="str">
        <f>HYPERLINK("https://twitter.com/UlisesGamez10","@UlisesGamez10")</f>
        <v>@UlisesGamez10</v>
      </c>
      <c r="C535" s="8" t="s">
        <v>23</v>
      </c>
      <c r="D535" s="9" t="s">
        <v>1943</v>
      </c>
      <c r="E535" s="10" t="str">
        <f>HYPERLINK("https://twitter.com/UlisesGamez10/status/1064524726037561344","1064524726037561344")</f>
        <v>1064524726037561344</v>
      </c>
      <c r="F535" s="12"/>
      <c r="G535" s="12"/>
      <c r="H535" s="12"/>
      <c r="I535" s="13">
        <v>1</v>
      </c>
      <c r="J535" s="13">
        <v>0</v>
      </c>
      <c r="K535" s="14" t="str">
        <f t="shared" ref="K535:K537" si="181">HYPERLINK("http://twitter.com/download/android","Twitter for Android")</f>
        <v>Twitter for Android</v>
      </c>
      <c r="L535" s="13">
        <v>1162</v>
      </c>
      <c r="M535" s="13">
        <v>5000</v>
      </c>
      <c r="N535" s="13">
        <v>0</v>
      </c>
      <c r="O535" s="15"/>
      <c r="P535" s="6">
        <v>43190.59783564815</v>
      </c>
      <c r="Q535" s="16" t="s">
        <v>25</v>
      </c>
      <c r="R535" s="17" t="s">
        <v>27</v>
      </c>
      <c r="S535" s="12"/>
      <c r="T535" s="12"/>
      <c r="U535" s="10" t="str">
        <f>HYPERLINK("https://pbs.twimg.com/profile_images/1031158722586980352/ItGPtjBj.jpg","View")</f>
        <v>View</v>
      </c>
    </row>
    <row r="536" spans="1:21" ht="71.400000000000006">
      <c r="A536" s="6">
        <v>43423.639467592591</v>
      </c>
      <c r="B536" s="7" t="str">
        <f>HYPERLINK("https://twitter.com/VoxCordoba","@VoxCordoba")</f>
        <v>@VoxCordoba</v>
      </c>
      <c r="C536" s="8" t="s">
        <v>518</v>
      </c>
      <c r="D536" s="9" t="s">
        <v>1946</v>
      </c>
      <c r="E536" s="10" t="str">
        <f>HYPERLINK("https://twitter.com/VoxCordoba/status/1064523898883051520","1064523898883051520")</f>
        <v>1064523898883051520</v>
      </c>
      <c r="F536" s="11" t="s">
        <v>1947</v>
      </c>
      <c r="G536" s="12"/>
      <c r="H536" s="12"/>
      <c r="I536" s="13">
        <v>15</v>
      </c>
      <c r="J536" s="13">
        <v>26</v>
      </c>
      <c r="K536" s="14" t="str">
        <f t="shared" si="181"/>
        <v>Twitter for Android</v>
      </c>
      <c r="L536" s="13">
        <v>3490</v>
      </c>
      <c r="M536" s="13">
        <v>419</v>
      </c>
      <c r="N536" s="13">
        <v>20</v>
      </c>
      <c r="O536" s="15"/>
      <c r="P536" s="6">
        <v>41702.963472222225</v>
      </c>
      <c r="Q536" s="16" t="s">
        <v>521</v>
      </c>
      <c r="R536" s="17" t="s">
        <v>522</v>
      </c>
      <c r="S536" s="11" t="s">
        <v>523</v>
      </c>
      <c r="T536" s="12"/>
      <c r="U536" s="10" t="str">
        <f>HYPERLINK("https://pbs.twimg.com/profile_images/689560110104993793/LDhy_1s_.jpg","View")</f>
        <v>View</v>
      </c>
    </row>
    <row r="537" spans="1:21" ht="112.2">
      <c r="A537" s="6">
        <v>43423.637129629627</v>
      </c>
      <c r="B537" s="7" t="str">
        <f>HYPERLINK("https://twitter.com/UlisesGamez10","@UlisesGamez10")</f>
        <v>@UlisesGamez10</v>
      </c>
      <c r="C537" s="8" t="s">
        <v>23</v>
      </c>
      <c r="D537" s="9" t="s">
        <v>1948</v>
      </c>
      <c r="E537" s="10" t="str">
        <f>HYPERLINK("https://twitter.com/UlisesGamez10/status/1064523053030359042","1064523053030359042")</f>
        <v>1064523053030359042</v>
      </c>
      <c r="F537" s="11" t="s">
        <v>1949</v>
      </c>
      <c r="G537" s="11" t="s">
        <v>1950</v>
      </c>
      <c r="H537" s="12"/>
      <c r="I537" s="13">
        <v>4</v>
      </c>
      <c r="J537" s="13">
        <v>4</v>
      </c>
      <c r="K537" s="14" t="str">
        <f t="shared" si="181"/>
        <v>Twitter for Android</v>
      </c>
      <c r="L537" s="13">
        <v>1162</v>
      </c>
      <c r="M537" s="13">
        <v>5000</v>
      </c>
      <c r="N537" s="13">
        <v>0</v>
      </c>
      <c r="O537" s="15"/>
      <c r="P537" s="6">
        <v>43190.59783564815</v>
      </c>
      <c r="Q537" s="16" t="s">
        <v>25</v>
      </c>
      <c r="R537" s="17" t="s">
        <v>27</v>
      </c>
      <c r="S537" s="12"/>
      <c r="T537" s="12"/>
      <c r="U537" s="10" t="str">
        <f>HYPERLINK("https://pbs.twimg.com/profile_images/1031158722586980352/ItGPtjBj.jpg","View")</f>
        <v>View</v>
      </c>
    </row>
    <row r="538" spans="1:21" ht="122.4">
      <c r="A538" s="6">
        <v>43423.634224537032</v>
      </c>
      <c r="B538" s="7" t="str">
        <f>HYPERLINK("https://twitter.com/Jrmgonzalez","@Jrmgonzalez")</f>
        <v>@Jrmgonzalez</v>
      </c>
      <c r="C538" s="8" t="s">
        <v>308</v>
      </c>
      <c r="D538" s="9" t="s">
        <v>1955</v>
      </c>
      <c r="E538" s="10" t="str">
        <f>HYPERLINK("https://twitter.com/Jrmgonzalez/status/1064522000914366465","1064522000914366465")</f>
        <v>1064522000914366465</v>
      </c>
      <c r="F538" s="11" t="s">
        <v>1956</v>
      </c>
      <c r="G538" s="11" t="s">
        <v>1957</v>
      </c>
      <c r="H538" s="12"/>
      <c r="I538" s="13">
        <v>4</v>
      </c>
      <c r="J538" s="13">
        <v>5</v>
      </c>
      <c r="K538" s="14" t="str">
        <f t="shared" ref="K538:K539" si="182">HYPERLINK("http://twitter.com/download/iphone","Twitter for iPhone")</f>
        <v>Twitter for iPhone</v>
      </c>
      <c r="L538" s="13">
        <v>32</v>
      </c>
      <c r="M538" s="13">
        <v>265</v>
      </c>
      <c r="N538" s="13">
        <v>2</v>
      </c>
      <c r="O538" s="15"/>
      <c r="P538" s="6">
        <v>41696.563379629632</v>
      </c>
      <c r="Q538" s="16" t="s">
        <v>312</v>
      </c>
      <c r="R538" s="17" t="s">
        <v>313</v>
      </c>
      <c r="S538" s="12"/>
      <c r="T538" s="12"/>
      <c r="U538" s="10" t="str">
        <f>HYPERLINK("https://pbs.twimg.com/profile_images/951188977960222721/P3ZmIVlt.jpg","View")</f>
        <v>View</v>
      </c>
    </row>
    <row r="539" spans="1:21" ht="51">
      <c r="A539" s="6">
        <v>43423.629259259258</v>
      </c>
      <c r="B539" s="7" t="str">
        <f>HYPERLINK("https://twitter.com/Trwistte","@Trwistte")</f>
        <v>@Trwistte</v>
      </c>
      <c r="C539" s="8" t="s">
        <v>2290</v>
      </c>
      <c r="D539" s="9" t="s">
        <v>2291</v>
      </c>
      <c r="E539" s="10" t="str">
        <f>HYPERLINK("https://twitter.com/Trwistte/status/1064520201230839809","1064520201230839809")</f>
        <v>1064520201230839809</v>
      </c>
      <c r="F539" s="12"/>
      <c r="G539" s="12"/>
      <c r="H539" s="12"/>
      <c r="I539" s="13">
        <v>0</v>
      </c>
      <c r="J539" s="13">
        <v>2</v>
      </c>
      <c r="K539" s="14" t="str">
        <f t="shared" si="182"/>
        <v>Twitter for iPhone</v>
      </c>
      <c r="L539" s="13">
        <v>1329</v>
      </c>
      <c r="M539" s="13">
        <v>185</v>
      </c>
      <c r="N539" s="13">
        <v>32</v>
      </c>
      <c r="O539" s="15"/>
      <c r="P539" s="6">
        <v>41367.808206018519</v>
      </c>
      <c r="Q539" s="12"/>
      <c r="R539" s="17" t="s">
        <v>2294</v>
      </c>
      <c r="S539" s="12"/>
      <c r="T539" s="12"/>
      <c r="U539" s="10" t="str">
        <f>HYPERLINK("https://pbs.twimg.com/profile_images/686168600609177600/DDQBkqYM.jpg","View")</f>
        <v>View</v>
      </c>
    </row>
    <row r="540" spans="1:21" ht="51">
      <c r="A540" s="6">
        <v>43423.624016203699</v>
      </c>
      <c r="B540" s="7" t="str">
        <f>HYPERLINK("https://twitter.com/Muruburoso","@Muruburoso")</f>
        <v>@Muruburoso</v>
      </c>
      <c r="C540" s="8" t="s">
        <v>1034</v>
      </c>
      <c r="D540" s="9" t="s">
        <v>1958</v>
      </c>
      <c r="E540" s="10" t="str">
        <f>HYPERLINK("https://twitter.com/Muruburoso/status/1064518302943326209","1064518302943326209")</f>
        <v>1064518302943326209</v>
      </c>
      <c r="F540" s="16" t="s">
        <v>1959</v>
      </c>
      <c r="G540" s="12"/>
      <c r="H540" s="12"/>
      <c r="I540" s="13">
        <v>0</v>
      </c>
      <c r="J540" s="13">
        <v>0</v>
      </c>
      <c r="K540" s="14" t="str">
        <f t="shared" ref="K540:K542" si="183">HYPERLINK("http://twitter.com/download/android","Twitter for Android")</f>
        <v>Twitter for Android</v>
      </c>
      <c r="L540" s="13">
        <v>451</v>
      </c>
      <c r="M540" s="13">
        <v>223</v>
      </c>
      <c r="N540" s="13">
        <v>33</v>
      </c>
      <c r="O540" s="15"/>
      <c r="P540" s="6">
        <v>40660.429247685184</v>
      </c>
      <c r="Q540" s="16" t="s">
        <v>1036</v>
      </c>
      <c r="R540" s="17" t="s">
        <v>1037</v>
      </c>
      <c r="S540" s="12"/>
      <c r="T540" s="12"/>
      <c r="U540" s="10" t="str">
        <f>HYPERLINK("https://pbs.twimg.com/profile_images/952919426793426944/wMaxnY63.jpg","View")</f>
        <v>View</v>
      </c>
    </row>
    <row r="541" spans="1:21" ht="51">
      <c r="A541" s="6">
        <v>43423.610532407409</v>
      </c>
      <c r="B541" s="7" t="str">
        <f>HYPERLINK("https://twitter.com/cid_lauri","@cid_lauri")</f>
        <v>@cid_lauri</v>
      </c>
      <c r="C541" s="8" t="s">
        <v>1960</v>
      </c>
      <c r="D541" s="9" t="s">
        <v>1961</v>
      </c>
      <c r="E541" s="10" t="str">
        <f>HYPERLINK("https://twitter.com/cid_lauri/status/1064513413827702786","1064513413827702786")</f>
        <v>1064513413827702786</v>
      </c>
      <c r="F541" s="11" t="s">
        <v>1962</v>
      </c>
      <c r="G541" s="11" t="s">
        <v>1963</v>
      </c>
      <c r="H541" s="12"/>
      <c r="I541" s="13">
        <v>13</v>
      </c>
      <c r="J541" s="13">
        <v>12</v>
      </c>
      <c r="K541" s="14" t="str">
        <f t="shared" si="183"/>
        <v>Twitter for Android</v>
      </c>
      <c r="L541" s="13">
        <v>1926</v>
      </c>
      <c r="M541" s="13">
        <v>1836</v>
      </c>
      <c r="N541" s="13">
        <v>4</v>
      </c>
      <c r="O541" s="15"/>
      <c r="P541" s="6">
        <v>42686.714444444442</v>
      </c>
      <c r="Q541" s="16" t="s">
        <v>66</v>
      </c>
      <c r="R541" s="17" t="s">
        <v>1965</v>
      </c>
      <c r="S541" s="12"/>
      <c r="T541" s="12"/>
      <c r="U541" s="10" t="str">
        <f>HYPERLINK("https://pbs.twimg.com/profile_images/1049048620975181825/SQ0EKXlm.jpg","View")</f>
        <v>View</v>
      </c>
    </row>
    <row r="542" spans="1:21" ht="30.6">
      <c r="A542" s="6">
        <v>43423.610520833332</v>
      </c>
      <c r="B542" s="7" t="str">
        <f>HYPERLINK("https://twitter.com/lunadebenidorm","@lunadebenidorm")</f>
        <v>@lunadebenidorm</v>
      </c>
      <c r="C542" s="8" t="s">
        <v>106</v>
      </c>
      <c r="D542" s="9" t="s">
        <v>1973</v>
      </c>
      <c r="E542" s="10" t="str">
        <f>HYPERLINK("https://twitter.com/lunadebenidorm/status/1064513412036726784","1064513412036726784")</f>
        <v>1064513412036726784</v>
      </c>
      <c r="F542" s="11" t="s">
        <v>1974</v>
      </c>
      <c r="G542" s="12"/>
      <c r="H542" s="12"/>
      <c r="I542" s="13">
        <v>0</v>
      </c>
      <c r="J542" s="13">
        <v>0</v>
      </c>
      <c r="K542" s="14" t="str">
        <f t="shared" si="183"/>
        <v>Twitter for Android</v>
      </c>
      <c r="L542" s="13">
        <v>3991</v>
      </c>
      <c r="M542" s="13">
        <v>3978</v>
      </c>
      <c r="N542" s="13">
        <v>79</v>
      </c>
      <c r="O542" s="15"/>
      <c r="P542" s="6">
        <v>41461.81186342593</v>
      </c>
      <c r="Q542" s="12"/>
      <c r="R542" s="17" t="s">
        <v>108</v>
      </c>
      <c r="S542" s="12"/>
      <c r="T542" s="12"/>
      <c r="U542" s="10" t="str">
        <f>HYPERLINK("https://pbs.twimg.com/profile_images/1061229593758257153/rePCQt08.jpg","View")</f>
        <v>View</v>
      </c>
    </row>
    <row r="543" spans="1:21" ht="61.2">
      <c r="A543" s="6">
        <v>43423.607141203705</v>
      </c>
      <c r="B543" s="7" t="str">
        <f>HYPERLINK("https://twitter.com/vox_es","@vox_es")</f>
        <v>@vox_es</v>
      </c>
      <c r="C543" s="8" t="s">
        <v>689</v>
      </c>
      <c r="D543" s="9" t="s">
        <v>1975</v>
      </c>
      <c r="E543" s="10" t="str">
        <f>HYPERLINK("https://twitter.com/vox_es/status/1064512187543273472","1064512187543273472")</f>
        <v>1064512187543273472</v>
      </c>
      <c r="F543" s="12"/>
      <c r="G543" s="11" t="s">
        <v>1957</v>
      </c>
      <c r="H543" s="12"/>
      <c r="I543" s="13">
        <v>389</v>
      </c>
      <c r="J543" s="13">
        <v>566</v>
      </c>
      <c r="K543" s="14" t="str">
        <f>HYPERLINK("http://twitter.com","Twitter Web Client")</f>
        <v>Twitter Web Client</v>
      </c>
      <c r="L543" s="13">
        <v>122548</v>
      </c>
      <c r="M543" s="13">
        <v>915</v>
      </c>
      <c r="N543" s="13">
        <v>919</v>
      </c>
      <c r="O543" s="23" t="s">
        <v>186</v>
      </c>
      <c r="P543" s="6">
        <v>41596.746655092589</v>
      </c>
      <c r="Q543" s="12"/>
      <c r="R543" s="17" t="s">
        <v>694</v>
      </c>
      <c r="S543" s="11" t="s">
        <v>187</v>
      </c>
      <c r="T543" s="12"/>
      <c r="U543" s="10" t="str">
        <f>HYPERLINK("https://pbs.twimg.com/profile_images/1016653788617363456/m3b3jqW5.jpg","View")</f>
        <v>View</v>
      </c>
    </row>
    <row r="544" spans="1:21" ht="71.400000000000006">
      <c r="A544" s="6">
        <v>43423.602326388893</v>
      </c>
      <c r="B544" s="7" t="str">
        <f>HYPERLINK("https://twitter.com/lunadebenidorm","@lunadebenidorm")</f>
        <v>@lunadebenidorm</v>
      </c>
      <c r="C544" s="8" t="s">
        <v>106</v>
      </c>
      <c r="D544" s="9" t="s">
        <v>1976</v>
      </c>
      <c r="E544" s="10" t="str">
        <f>HYPERLINK("https://twitter.com/lunadebenidorm/status/1064510442209533952","1064510442209533952")</f>
        <v>1064510442209533952</v>
      </c>
      <c r="F544" s="12"/>
      <c r="G544" s="12"/>
      <c r="H544" s="12"/>
      <c r="I544" s="13">
        <v>0</v>
      </c>
      <c r="J544" s="13">
        <v>0</v>
      </c>
      <c r="K544" s="14" t="str">
        <f t="shared" ref="K544:K545" si="184">HYPERLINK("http://twitter.com/download/android","Twitter for Android")</f>
        <v>Twitter for Android</v>
      </c>
      <c r="L544" s="13">
        <v>3991</v>
      </c>
      <c r="M544" s="13">
        <v>3978</v>
      </c>
      <c r="N544" s="13">
        <v>79</v>
      </c>
      <c r="O544" s="15"/>
      <c r="P544" s="6">
        <v>41461.81186342593</v>
      </c>
      <c r="Q544" s="12"/>
      <c r="R544" s="17" t="s">
        <v>108</v>
      </c>
      <c r="S544" s="12"/>
      <c r="T544" s="12"/>
      <c r="U544" s="10" t="str">
        <f>HYPERLINK("https://pbs.twimg.com/profile_images/1061229593758257153/rePCQt08.jpg","View")</f>
        <v>View</v>
      </c>
    </row>
    <row r="545" spans="1:21" ht="51">
      <c r="A545" s="6">
        <v>43423.601319444446</v>
      </c>
      <c r="B545" s="7" t="str">
        <f>HYPERLINK("https://twitter.com/indpcom","@indpcom")</f>
        <v>@indpcom</v>
      </c>
      <c r="C545" s="8" t="s">
        <v>1753</v>
      </c>
      <c r="D545" s="9" t="s">
        <v>1977</v>
      </c>
      <c r="E545" s="10" t="str">
        <f>HYPERLINK("https://twitter.com/indpcom/status/1064510076839493632","1064510076839493632")</f>
        <v>1064510076839493632</v>
      </c>
      <c r="F545" s="11" t="s">
        <v>1941</v>
      </c>
      <c r="G545" s="12"/>
      <c r="H545" s="12"/>
      <c r="I545" s="13">
        <v>1</v>
      </c>
      <c r="J545" s="13">
        <v>2</v>
      </c>
      <c r="K545" s="14" t="str">
        <f t="shared" si="184"/>
        <v>Twitter for Android</v>
      </c>
      <c r="L545" s="13">
        <v>57680</v>
      </c>
      <c r="M545" s="13">
        <v>1302</v>
      </c>
      <c r="N545" s="13">
        <v>1099</v>
      </c>
      <c r="O545" s="23" t="s">
        <v>186</v>
      </c>
      <c r="P545" s="6">
        <v>42537.702719907407</v>
      </c>
      <c r="Q545" s="16" t="s">
        <v>44</v>
      </c>
      <c r="R545" s="17" t="s">
        <v>1756</v>
      </c>
      <c r="S545" s="11" t="s">
        <v>1757</v>
      </c>
      <c r="T545" s="12"/>
      <c r="U545" s="10" t="str">
        <f>HYPERLINK("https://pbs.twimg.com/profile_images/773807977069420544/o4tNI4zQ.jpg","View")</f>
        <v>View</v>
      </c>
    </row>
    <row r="546" spans="1:21" ht="30.6">
      <c r="A546" s="6">
        <v>43423.600671296299</v>
      </c>
      <c r="B546" s="7" t="str">
        <f>HYPERLINK("https://twitter.com/ricardocrc","@ricardocrc")</f>
        <v>@ricardocrc</v>
      </c>
      <c r="C546" s="8" t="s">
        <v>1978</v>
      </c>
      <c r="D546" s="9" t="s">
        <v>1979</v>
      </c>
      <c r="E546" s="10" t="str">
        <f>HYPERLINK("https://twitter.com/ricardocrc/status/1064509841954271232","1064509841954271232")</f>
        <v>1064509841954271232</v>
      </c>
      <c r="F546" s="11" t="s">
        <v>1980</v>
      </c>
      <c r="G546" s="12"/>
      <c r="H546" s="12"/>
      <c r="I546" s="13">
        <v>1</v>
      </c>
      <c r="J546" s="13">
        <v>0</v>
      </c>
      <c r="K546" s="14" t="str">
        <f>HYPERLINK("http://twitter.com","Twitter Web Client")</f>
        <v>Twitter Web Client</v>
      </c>
      <c r="L546" s="13">
        <v>1022</v>
      </c>
      <c r="M546" s="13">
        <v>262</v>
      </c>
      <c r="N546" s="13">
        <v>32</v>
      </c>
      <c r="O546" s="15"/>
      <c r="P546" s="6">
        <v>40680.444409722222</v>
      </c>
      <c r="Q546" s="16" t="s">
        <v>571</v>
      </c>
      <c r="R546" s="17" t="s">
        <v>1983</v>
      </c>
      <c r="S546" s="12"/>
      <c r="T546" s="12"/>
      <c r="U546" s="10" t="str">
        <f>HYPERLINK("https://pbs.twimg.com/profile_images/546081386797363200/Eo8NXm1k.jpeg","View")</f>
        <v>View</v>
      </c>
    </row>
    <row r="547" spans="1:21" ht="30.6">
      <c r="A547" s="6">
        <v>43423.594085648147</v>
      </c>
      <c r="B547" s="7" t="str">
        <f>HYPERLINK("https://twitter.com/DuranEstany","@DuranEstany")</f>
        <v>@DuranEstany</v>
      </c>
      <c r="C547" s="8" t="s">
        <v>1985</v>
      </c>
      <c r="D547" s="9" t="s">
        <v>1986</v>
      </c>
      <c r="E547" s="10" t="str">
        <f>HYPERLINK("https://twitter.com/DuranEstany/status/1064507453402943488","1064507453402943488")</f>
        <v>1064507453402943488</v>
      </c>
      <c r="F547" s="11" t="s">
        <v>1987</v>
      </c>
      <c r="G547" s="12"/>
      <c r="H547" s="12"/>
      <c r="I547" s="13">
        <v>0</v>
      </c>
      <c r="J547" s="13">
        <v>0</v>
      </c>
      <c r="K547" s="14" t="str">
        <f>HYPERLINK("http://twitter.com/download/android","Twitter for Android")</f>
        <v>Twitter for Android</v>
      </c>
      <c r="L547" s="13">
        <v>65</v>
      </c>
      <c r="M547" s="13">
        <v>332</v>
      </c>
      <c r="N547" s="13">
        <v>1</v>
      </c>
      <c r="O547" s="15"/>
      <c r="P547" s="6">
        <v>42965.470567129625</v>
      </c>
      <c r="Q547" s="16" t="s">
        <v>1988</v>
      </c>
      <c r="R547" s="17" t="s">
        <v>1989</v>
      </c>
      <c r="S547" s="12"/>
      <c r="T547" s="12"/>
      <c r="U547" s="10" t="str">
        <f>HYPERLINK("https://pbs.twimg.com/profile_images/1029697147439067136/UyzSjFrW.jpg","View")</f>
        <v>View</v>
      </c>
    </row>
    <row r="548" spans="1:21" ht="91.8">
      <c r="A548" s="6">
        <v>43423.584525462968</v>
      </c>
      <c r="B548" s="7" t="str">
        <f>HYPERLINK("https://twitter.com/jmguzmanocon","@jmguzmanocon")</f>
        <v>@jmguzmanocon</v>
      </c>
      <c r="C548" s="8" t="s">
        <v>1990</v>
      </c>
      <c r="D548" s="9" t="s">
        <v>1991</v>
      </c>
      <c r="E548" s="10" t="str">
        <f>HYPERLINK("https://twitter.com/jmguzmanocon/status/1064503990589800448","1064503990589800448")</f>
        <v>1064503990589800448</v>
      </c>
      <c r="F548" s="11" t="s">
        <v>1992</v>
      </c>
      <c r="G548" s="11" t="s">
        <v>1993</v>
      </c>
      <c r="H548" s="12"/>
      <c r="I548" s="13">
        <v>0</v>
      </c>
      <c r="J548" s="13">
        <v>1</v>
      </c>
      <c r="K548" s="14" t="str">
        <f>HYPERLINK("https://mobile.twitter.com","Twitter Lite")</f>
        <v>Twitter Lite</v>
      </c>
      <c r="L548" s="13">
        <v>43</v>
      </c>
      <c r="M548" s="13">
        <v>417</v>
      </c>
      <c r="N548" s="13">
        <v>0</v>
      </c>
      <c r="O548" s="15"/>
      <c r="P548" s="6">
        <v>40881.688437500001</v>
      </c>
      <c r="Q548" s="12"/>
      <c r="R548" s="21"/>
      <c r="S548" s="12"/>
      <c r="T548" s="12"/>
      <c r="U548" s="10" t="str">
        <f>HYPERLINK("https://pbs.twimg.com/profile_images/2573244350/40rcwQjo","View")</f>
        <v>View</v>
      </c>
    </row>
    <row r="549" spans="1:21" ht="20.399999999999999">
      <c r="A549" s="6">
        <v>43423.583333333328</v>
      </c>
      <c r="B549" s="7" t="str">
        <f>HYPERLINK("https://twitter.com/portaldecadiz","@portaldecadiz")</f>
        <v>@portaldecadiz</v>
      </c>
      <c r="C549" s="8" t="s">
        <v>1490</v>
      </c>
      <c r="D549" s="9" t="s">
        <v>1492</v>
      </c>
      <c r="E549" s="10" t="str">
        <f>HYPERLINK("https://twitter.com/portaldecadiz/status/1064503559796994049","1064503559796994049")</f>
        <v>1064503559796994049</v>
      </c>
      <c r="F549" s="11" t="s">
        <v>1495</v>
      </c>
      <c r="G549" s="12"/>
      <c r="H549" s="12"/>
      <c r="I549" s="13">
        <v>0</v>
      </c>
      <c r="J549" s="13">
        <v>0</v>
      </c>
      <c r="K549" s="14" t="str">
        <f>HYPERLINK("https://about.twitter.com/products/tweetdeck","TweetDeck")</f>
        <v>TweetDeck</v>
      </c>
      <c r="L549" s="13">
        <v>15172</v>
      </c>
      <c r="M549" s="13">
        <v>864</v>
      </c>
      <c r="N549" s="13">
        <v>187</v>
      </c>
      <c r="O549" s="15"/>
      <c r="P549" s="6">
        <v>40151.750740740739</v>
      </c>
      <c r="Q549" s="16" t="s">
        <v>1496</v>
      </c>
      <c r="R549" s="17" t="s">
        <v>1497</v>
      </c>
      <c r="S549" s="11" t="s">
        <v>1498</v>
      </c>
      <c r="T549" s="12"/>
      <c r="U549" s="10" t="str">
        <f>HYPERLINK("https://pbs.twimg.com/profile_images/971883217937723392/A4FMn6XX.jpg","View")</f>
        <v>View</v>
      </c>
    </row>
    <row r="550" spans="1:21" ht="91.8">
      <c r="A550" s="6">
        <v>43423.580393518518</v>
      </c>
      <c r="B550" s="7" t="str">
        <f>HYPERLINK("https://twitter.com/CapPescanova","@CapPescanova")</f>
        <v>@CapPescanova</v>
      </c>
      <c r="C550" s="8" t="s">
        <v>1995</v>
      </c>
      <c r="D550" s="9" t="s">
        <v>1996</v>
      </c>
      <c r="E550" s="10" t="str">
        <f>HYPERLINK("https://twitter.com/CapPescanova/status/1064502491381936128","1064502491381936128")</f>
        <v>1064502491381936128</v>
      </c>
      <c r="F550" s="11" t="s">
        <v>1889</v>
      </c>
      <c r="G550" s="11" t="s">
        <v>1890</v>
      </c>
      <c r="H550" s="12"/>
      <c r="I550" s="13">
        <v>0</v>
      </c>
      <c r="J550" s="13">
        <v>0</v>
      </c>
      <c r="K550" s="14" t="str">
        <f>HYPERLINK("http://twitter.com/download/android","Twitter for Android")</f>
        <v>Twitter for Android</v>
      </c>
      <c r="L550" s="13">
        <v>966</v>
      </c>
      <c r="M550" s="13">
        <v>858</v>
      </c>
      <c r="N550" s="13">
        <v>37</v>
      </c>
      <c r="O550" s="15"/>
      <c r="P550" s="6">
        <v>41148.691643518519</v>
      </c>
      <c r="Q550" s="16" t="s">
        <v>1162</v>
      </c>
      <c r="R550" s="17" t="s">
        <v>1997</v>
      </c>
      <c r="S550" s="11" t="s">
        <v>1998</v>
      </c>
      <c r="T550" s="12"/>
      <c r="U550" s="10" t="str">
        <f>HYPERLINK("https://pbs.twimg.com/profile_images/2549038231/playmobil-captain.jpg","View")</f>
        <v>View</v>
      </c>
    </row>
    <row r="551" spans="1:21" ht="91.8">
      <c r="A551" s="6">
        <v>43423.577453703707</v>
      </c>
      <c r="B551" s="7" t="str">
        <f>HYPERLINK("https://twitter.com/Antonio29407099","@Antonio29407099")</f>
        <v>@Antonio29407099</v>
      </c>
      <c r="C551" s="8" t="s">
        <v>1371</v>
      </c>
      <c r="D551" s="9" t="s">
        <v>1999</v>
      </c>
      <c r="E551" s="10" t="str">
        <f>HYPERLINK("https://twitter.com/Antonio29407099/status/1064501426305540097","1064501426305540097")</f>
        <v>1064501426305540097</v>
      </c>
      <c r="F551" s="16" t="s">
        <v>2001</v>
      </c>
      <c r="G551" s="11" t="s">
        <v>2002</v>
      </c>
      <c r="H551" s="12"/>
      <c r="I551" s="13">
        <v>0</v>
      </c>
      <c r="J551" s="13">
        <v>1</v>
      </c>
      <c r="K551" s="14" t="str">
        <f>HYPERLINK("http://twitter.com","Twitter Web Client")</f>
        <v>Twitter Web Client</v>
      </c>
      <c r="L551" s="13">
        <v>408</v>
      </c>
      <c r="M551" s="13">
        <v>420</v>
      </c>
      <c r="N551" s="13">
        <v>8</v>
      </c>
      <c r="O551" s="15"/>
      <c r="P551" s="6">
        <v>40986.32503472222</v>
      </c>
      <c r="Q551" s="16" t="s">
        <v>1117</v>
      </c>
      <c r="R551" s="17" t="s">
        <v>1372</v>
      </c>
      <c r="S551" s="12"/>
      <c r="T551" s="12"/>
      <c r="U551" s="10" t="str">
        <f>HYPERLINK("https://pbs.twimg.com/profile_images/1065943948890382336/j9ezRSrk.jpg","View")</f>
        <v>View</v>
      </c>
    </row>
    <row r="552" spans="1:21" ht="20.399999999999999">
      <c r="A552" s="6">
        <v>43423.57131944444</v>
      </c>
      <c r="B552" s="7" t="str">
        <f>HYPERLINK("https://twitter.com/Mabe_Fer_","@Mabe_Fer_")</f>
        <v>@Mabe_Fer_</v>
      </c>
      <c r="C552" s="8" t="s">
        <v>594</v>
      </c>
      <c r="D552" s="9" t="s">
        <v>1512</v>
      </c>
      <c r="E552" s="10" t="str">
        <f>HYPERLINK("https://twitter.com/Mabe_Fer_/status/1064499204033323009","1064499204033323009")</f>
        <v>1064499204033323009</v>
      </c>
      <c r="F552" s="11" t="s">
        <v>1279</v>
      </c>
      <c r="G552" s="12"/>
      <c r="H552" s="12"/>
      <c r="I552" s="13">
        <v>0</v>
      </c>
      <c r="J552" s="13">
        <v>0</v>
      </c>
      <c r="K552" s="14" t="str">
        <f t="shared" ref="K552:K557" si="185">HYPERLINK("http://twitter.com/download/android","Twitter for Android")</f>
        <v>Twitter for Android</v>
      </c>
      <c r="L552" s="13">
        <v>389</v>
      </c>
      <c r="M552" s="13">
        <v>251</v>
      </c>
      <c r="N552" s="13">
        <v>0</v>
      </c>
      <c r="O552" s="15"/>
      <c r="P552" s="6">
        <v>43237.386134259257</v>
      </c>
      <c r="Q552" s="16" t="s">
        <v>596</v>
      </c>
      <c r="R552" s="17" t="s">
        <v>597</v>
      </c>
      <c r="S552" s="12"/>
      <c r="T552" s="12"/>
      <c r="U552" s="10" t="str">
        <f>HYPERLINK("https://pbs.twimg.com/profile_images/1063816291390316544/8Ae4B9b0.jpg","View")</f>
        <v>View</v>
      </c>
    </row>
    <row r="553" spans="1:21" ht="112.2">
      <c r="A553" s="6">
        <v>43423.569756944446</v>
      </c>
      <c r="B553" s="7" t="str">
        <f>HYPERLINK("https://twitter.com/undosytess","@undosytess")</f>
        <v>@undosytess</v>
      </c>
      <c r="C553" s="8" t="s">
        <v>2007</v>
      </c>
      <c r="D553" s="9" t="s">
        <v>2009</v>
      </c>
      <c r="E553" s="10" t="str">
        <f>HYPERLINK("https://twitter.com/undosytess/status/1064498639668723712","1064498639668723712")</f>
        <v>1064498639668723712</v>
      </c>
      <c r="F553" s="11" t="s">
        <v>1685</v>
      </c>
      <c r="G553" s="11" t="s">
        <v>1686</v>
      </c>
      <c r="H553" s="12"/>
      <c r="I553" s="13">
        <v>18</v>
      </c>
      <c r="J553" s="13">
        <v>36</v>
      </c>
      <c r="K553" s="14" t="str">
        <f t="shared" si="185"/>
        <v>Twitter for Android</v>
      </c>
      <c r="L553" s="13">
        <v>7459</v>
      </c>
      <c r="M553" s="13">
        <v>5224</v>
      </c>
      <c r="N553" s="13">
        <v>19</v>
      </c>
      <c r="O553" s="15"/>
      <c r="P553" s="6">
        <v>40866.955717592595</v>
      </c>
      <c r="Q553" s="16" t="s">
        <v>2010</v>
      </c>
      <c r="R553" s="17" t="s">
        <v>2011</v>
      </c>
      <c r="S553" s="12"/>
      <c r="T553" s="12"/>
      <c r="U553" s="10" t="str">
        <f>HYPERLINK("https://pbs.twimg.com/profile_images/1064762193571430400/F1CswjNr.jpg","View")</f>
        <v>View</v>
      </c>
    </row>
    <row r="554" spans="1:21" ht="51">
      <c r="A554" s="6">
        <v>43423.566574074073</v>
      </c>
      <c r="B554" s="7" t="str">
        <f>HYPERLINK("https://twitter.com/arachibuty","@arachibuty")</f>
        <v>@arachibuty</v>
      </c>
      <c r="C554" s="8" t="s">
        <v>2349</v>
      </c>
      <c r="D554" s="9" t="s">
        <v>2350</v>
      </c>
      <c r="E554" s="10" t="str">
        <f>HYPERLINK("https://twitter.com/arachibuty/status/1064497483701719041","1064497483701719041")</f>
        <v>1064497483701719041</v>
      </c>
      <c r="F554" s="12"/>
      <c r="G554" s="11" t="s">
        <v>2351</v>
      </c>
      <c r="H554" s="12"/>
      <c r="I554" s="13">
        <v>0</v>
      </c>
      <c r="J554" s="13">
        <v>0</v>
      </c>
      <c r="K554" s="14" t="str">
        <f t="shared" si="185"/>
        <v>Twitter for Android</v>
      </c>
      <c r="L554" s="13">
        <v>375</v>
      </c>
      <c r="M554" s="13">
        <v>80</v>
      </c>
      <c r="N554" s="13">
        <v>13</v>
      </c>
      <c r="O554" s="15"/>
      <c r="P554" s="6">
        <v>39939.628576388888</v>
      </c>
      <c r="Q554" s="16" t="s">
        <v>2352</v>
      </c>
      <c r="R554" s="17" t="s">
        <v>2353</v>
      </c>
      <c r="S554" s="12"/>
      <c r="T554" s="12"/>
      <c r="U554" s="10" t="str">
        <f>HYPERLINK("https://pbs.twimg.com/profile_images/958762545891946496/sVbwOUkU.jpg","View")</f>
        <v>View</v>
      </c>
    </row>
    <row r="555" spans="1:21" ht="71.400000000000006">
      <c r="A555" s="6">
        <v>43423.556273148148</v>
      </c>
      <c r="B555" s="7" t="str">
        <f>HYPERLINK("https://twitter.com/VOX_Guadalajara","@VOX_Guadalajara")</f>
        <v>@VOX_Guadalajara</v>
      </c>
      <c r="C555" s="8" t="s">
        <v>1305</v>
      </c>
      <c r="D555" s="9" t="s">
        <v>2012</v>
      </c>
      <c r="E555" s="10" t="str">
        <f>HYPERLINK("https://twitter.com/VOX_Guadalajara/status/1064493754202107904","1064493754202107904")</f>
        <v>1064493754202107904</v>
      </c>
      <c r="F555" s="16" t="s">
        <v>2001</v>
      </c>
      <c r="G555" s="11" t="s">
        <v>2002</v>
      </c>
      <c r="H555" s="12"/>
      <c r="I555" s="13">
        <v>2</v>
      </c>
      <c r="J555" s="13">
        <v>4</v>
      </c>
      <c r="K555" s="14" t="str">
        <f t="shared" si="185"/>
        <v>Twitter for Android</v>
      </c>
      <c r="L555" s="13">
        <v>2564</v>
      </c>
      <c r="M555" s="13">
        <v>2101</v>
      </c>
      <c r="N555" s="13">
        <v>42</v>
      </c>
      <c r="O555" s="15"/>
      <c r="P555" s="6">
        <v>41707.002291666664</v>
      </c>
      <c r="Q555" s="16" t="s">
        <v>1308</v>
      </c>
      <c r="R555" s="17" t="s">
        <v>1309</v>
      </c>
      <c r="S555" s="11" t="s">
        <v>1310</v>
      </c>
      <c r="T555" s="12"/>
      <c r="U555" s="10" t="str">
        <f>HYPERLINK("https://pbs.twimg.com/profile_images/592072772932730880/rNcgJTpv.jpg","View")</f>
        <v>View</v>
      </c>
    </row>
    <row r="556" spans="1:21" ht="51">
      <c r="A556" s="6">
        <v>43423.552175925928</v>
      </c>
      <c r="B556" s="7" t="str">
        <f>HYPERLINK("https://twitter.com/diandraydeborah","@diandraydeborah")</f>
        <v>@diandraydeborah</v>
      </c>
      <c r="C556" s="8" t="s">
        <v>2013</v>
      </c>
      <c r="D556" s="9" t="s">
        <v>2014</v>
      </c>
      <c r="E556" s="10" t="str">
        <f>HYPERLINK("https://twitter.com/diandraydeborah/status/1064492267283582987","1064492267283582987")</f>
        <v>1064492267283582987</v>
      </c>
      <c r="F556" s="12"/>
      <c r="G556" s="12"/>
      <c r="H556" s="12"/>
      <c r="I556" s="13">
        <v>0</v>
      </c>
      <c r="J556" s="13">
        <v>3</v>
      </c>
      <c r="K556" s="14" t="str">
        <f t="shared" si="185"/>
        <v>Twitter for Android</v>
      </c>
      <c r="L556" s="13">
        <v>920</v>
      </c>
      <c r="M556" s="13">
        <v>1810</v>
      </c>
      <c r="N556" s="13">
        <v>28</v>
      </c>
      <c r="O556" s="15"/>
      <c r="P556" s="6">
        <v>41513.903599537036</v>
      </c>
      <c r="Q556" s="12"/>
      <c r="R556" s="17" t="s">
        <v>2015</v>
      </c>
      <c r="S556" s="12"/>
      <c r="T556" s="12"/>
      <c r="U556" s="10" t="str">
        <f>HYPERLINK("https://pbs.twimg.com/profile_images/448494747053989888/h_EsG1QN.jpeg","View")</f>
        <v>View</v>
      </c>
    </row>
    <row r="557" spans="1:21" ht="13.2">
      <c r="A557" s="6">
        <v>43423.551782407405</v>
      </c>
      <c r="B557" s="7" t="str">
        <f>HYPERLINK("https://twitter.com/TNylaya","@TNylaya")</f>
        <v>@TNylaya</v>
      </c>
      <c r="C557" s="8" t="s">
        <v>21</v>
      </c>
      <c r="D557" s="9" t="s">
        <v>2362</v>
      </c>
      <c r="E557" s="10" t="str">
        <f>HYPERLINK("https://twitter.com/TNylaya/status/1064492126682210305","1064492126682210305")</f>
        <v>1064492126682210305</v>
      </c>
      <c r="F557" s="11" t="s">
        <v>2363</v>
      </c>
      <c r="G557" s="12"/>
      <c r="H557" s="12"/>
      <c r="I557" s="13">
        <v>0</v>
      </c>
      <c r="J557" s="13">
        <v>0</v>
      </c>
      <c r="K557" s="14" t="str">
        <f t="shared" si="185"/>
        <v>Twitter for Android</v>
      </c>
      <c r="L557" s="13">
        <v>82</v>
      </c>
      <c r="M557" s="13">
        <v>268</v>
      </c>
      <c r="N557" s="13">
        <v>0</v>
      </c>
      <c r="O557" s="15"/>
      <c r="P557" s="6">
        <v>43373.076354166667</v>
      </c>
      <c r="Q557" s="12"/>
      <c r="R557" s="17" t="s">
        <v>26</v>
      </c>
      <c r="S557" s="12"/>
      <c r="T557" s="12"/>
      <c r="U557" s="10" t="str">
        <f>HYPERLINK("https://pbs.twimg.com/profile_images/1046188819358322689/x_yItWiC.jpg","View")</f>
        <v>View</v>
      </c>
    </row>
    <row r="558" spans="1:21" ht="30.6">
      <c r="A558" s="6">
        <v>43423.544675925921</v>
      </c>
      <c r="B558" s="7" t="str">
        <f>HYPERLINK("https://twitter.com/NathanLelarge","@NathanLelarge")</f>
        <v>@NathanLelarge</v>
      </c>
      <c r="C558" s="8" t="s">
        <v>2016</v>
      </c>
      <c r="D558" s="9" t="s">
        <v>2017</v>
      </c>
      <c r="E558" s="10" t="str">
        <f>HYPERLINK("https://twitter.com/NathanLelarge/status/1064489547470376960","1064489547470376960")</f>
        <v>1064489547470376960</v>
      </c>
      <c r="F558" s="12"/>
      <c r="G558" s="11" t="s">
        <v>2018</v>
      </c>
      <c r="H558" s="12"/>
      <c r="I558" s="13">
        <v>1</v>
      </c>
      <c r="J558" s="13">
        <v>2</v>
      </c>
      <c r="K558" s="14" t="str">
        <f>HYPERLINK("http://twitter.com/download/iphone","Twitter for iPhone")</f>
        <v>Twitter for iPhone</v>
      </c>
      <c r="L558" s="13">
        <v>1248</v>
      </c>
      <c r="M558" s="13">
        <v>478</v>
      </c>
      <c r="N558" s="13">
        <v>3</v>
      </c>
      <c r="O558" s="15"/>
      <c r="P558" s="6">
        <v>42640.863437499997</v>
      </c>
      <c r="Q558" s="16" t="s">
        <v>2019</v>
      </c>
      <c r="R558" s="17" t="s">
        <v>2020</v>
      </c>
      <c r="S558" s="12"/>
      <c r="T558" s="12"/>
      <c r="U558" s="10" t="str">
        <f>HYPERLINK("https://pbs.twimg.com/profile_images/1063161489425645568/BbKRaIUx.jpg","View")</f>
        <v>View</v>
      </c>
    </row>
    <row r="559" spans="1:21" ht="51">
      <c r="A559" s="6">
        <v>43423.536921296298</v>
      </c>
      <c r="B559" s="7" t="str">
        <f>HYPERLINK("https://twitter.com/0Realista3","@0Realista3")</f>
        <v>@0Realista3</v>
      </c>
      <c r="C559" s="8" t="s">
        <v>2021</v>
      </c>
      <c r="D559" s="9" t="s">
        <v>2022</v>
      </c>
      <c r="E559" s="10" t="str">
        <f>HYPERLINK("https://twitter.com/0Realista3/status/1064486741212626944","1064486741212626944")</f>
        <v>1064486741212626944</v>
      </c>
      <c r="F559" s="11" t="s">
        <v>2023</v>
      </c>
      <c r="G559" s="12"/>
      <c r="H559" s="12"/>
      <c r="I559" s="13">
        <v>1</v>
      </c>
      <c r="J559" s="13">
        <v>1</v>
      </c>
      <c r="K559" s="14" t="str">
        <f>HYPERLINK("http://twitter.com/download/android","Twitter for Android")</f>
        <v>Twitter for Android</v>
      </c>
      <c r="L559" s="13">
        <v>141</v>
      </c>
      <c r="M559" s="13">
        <v>183</v>
      </c>
      <c r="N559" s="13">
        <v>4</v>
      </c>
      <c r="O559" s="15"/>
      <c r="P559" s="6">
        <v>43321.979270833333</v>
      </c>
      <c r="Q559" s="12"/>
      <c r="R559" s="21"/>
      <c r="S559" s="12"/>
      <c r="T559" s="12"/>
      <c r="U559" s="10" t="str">
        <f>HYPERLINK("https://pbs.twimg.com/profile_images/1027818317438959617/4exm99jw.jpg","View")</f>
        <v>View</v>
      </c>
    </row>
    <row r="560" spans="1:21" ht="102">
      <c r="A560" s="6">
        <v>43423.533414351856</v>
      </c>
      <c r="B560" s="7" t="str">
        <f>HYPERLINK("https://twitter.com/JuntosxPalencia","@JuntosxPalencia")</f>
        <v>@JuntosxPalencia</v>
      </c>
      <c r="C560" s="8" t="s">
        <v>2024</v>
      </c>
      <c r="D560" s="9" t="s">
        <v>2025</v>
      </c>
      <c r="E560" s="10" t="str">
        <f>HYPERLINK("https://twitter.com/JuntosxPalencia/status/1064485466349756423","1064485466349756423")</f>
        <v>1064485466349756423</v>
      </c>
      <c r="F560" s="11" t="s">
        <v>2026</v>
      </c>
      <c r="G560" s="11" t="s">
        <v>2027</v>
      </c>
      <c r="H560" s="12"/>
      <c r="I560" s="13">
        <v>0</v>
      </c>
      <c r="J560" s="13">
        <v>0</v>
      </c>
      <c r="K560" s="14" t="str">
        <f>HYPERLINK("http://twitter.com","Twitter Web Client")</f>
        <v>Twitter Web Client</v>
      </c>
      <c r="L560" s="13">
        <v>81</v>
      </c>
      <c r="M560" s="13">
        <v>743</v>
      </c>
      <c r="N560" s="13">
        <v>1</v>
      </c>
      <c r="O560" s="15"/>
      <c r="P560" s="6">
        <v>43214.913900462961</v>
      </c>
      <c r="Q560" s="16" t="s">
        <v>2028</v>
      </c>
      <c r="R560" s="17" t="s">
        <v>2029</v>
      </c>
      <c r="S560" s="12"/>
      <c r="T560" s="12"/>
      <c r="U560" s="10" t="str">
        <f>HYPERLINK("https://pbs.twimg.com/profile_images/988871596206063618/rKd8UD0g.jpg","View")</f>
        <v>View</v>
      </c>
    </row>
    <row r="561" spans="1:21" ht="20.399999999999999">
      <c r="A561" s="6">
        <v>43423.530497685184</v>
      </c>
      <c r="B561" s="7" t="str">
        <f>HYPERLINK("https://twitter.com/Santi_ABASCAL","@Santi_ABASCAL")</f>
        <v>@Santi_ABASCAL</v>
      </c>
      <c r="C561" s="8" t="s">
        <v>182</v>
      </c>
      <c r="D561" s="9" t="s">
        <v>2376</v>
      </c>
      <c r="E561" s="10" t="str">
        <f>HYPERLINK("https://twitter.com/Santi_ABASCAL/status/1064484410328788992","1064484410328788992")</f>
        <v>1064484410328788992</v>
      </c>
      <c r="F561" s="11" t="s">
        <v>2377</v>
      </c>
      <c r="G561" s="12"/>
      <c r="H561" s="12"/>
      <c r="I561" s="13">
        <v>1253</v>
      </c>
      <c r="J561" s="13">
        <v>1811</v>
      </c>
      <c r="K561" s="14" t="str">
        <f>HYPERLINK("http://twitter.com/download/android","Twitter for Android")</f>
        <v>Twitter for Android</v>
      </c>
      <c r="L561" s="13">
        <v>117602</v>
      </c>
      <c r="M561" s="13">
        <v>3896</v>
      </c>
      <c r="N561" s="13">
        <v>915</v>
      </c>
      <c r="O561" s="23" t="s">
        <v>186</v>
      </c>
      <c r="P561" s="6">
        <v>40606.716446759259</v>
      </c>
      <c r="Q561" s="16" t="s">
        <v>188</v>
      </c>
      <c r="R561" s="17" t="s">
        <v>189</v>
      </c>
      <c r="S561" s="11" t="s">
        <v>190</v>
      </c>
      <c r="T561" s="12"/>
      <c r="U561" s="10" t="str">
        <f>HYPERLINK("https://pbs.twimg.com/profile_images/1010488787686879232/2CnqYKlD.jpg","View")</f>
        <v>View</v>
      </c>
    </row>
    <row r="562" spans="1:21" ht="40.799999999999997">
      <c r="A562" s="6">
        <v>43423.529583333337</v>
      </c>
      <c r="B562" s="7" t="str">
        <f>HYPERLINK("https://twitter.com/vox_es","@vox_es")</f>
        <v>@vox_es</v>
      </c>
      <c r="C562" s="8" t="s">
        <v>689</v>
      </c>
      <c r="D562" s="9" t="s">
        <v>2032</v>
      </c>
      <c r="E562" s="10" t="str">
        <f>HYPERLINK("https://twitter.com/vox_es/status/1064484078970437632","1064484078970437632")</f>
        <v>1064484078970437632</v>
      </c>
      <c r="F562" s="11" t="s">
        <v>2034</v>
      </c>
      <c r="G562" s="11" t="s">
        <v>2002</v>
      </c>
      <c r="H562" s="12"/>
      <c r="I562" s="13">
        <v>191</v>
      </c>
      <c r="J562" s="13">
        <v>315</v>
      </c>
      <c r="K562" s="14" t="str">
        <f>HYPERLINK("http://twitter.com","Twitter Web Client")</f>
        <v>Twitter Web Client</v>
      </c>
      <c r="L562" s="13">
        <v>122548</v>
      </c>
      <c r="M562" s="13">
        <v>915</v>
      </c>
      <c r="N562" s="13">
        <v>919</v>
      </c>
      <c r="O562" s="23" t="s">
        <v>186</v>
      </c>
      <c r="P562" s="6">
        <v>41596.746655092589</v>
      </c>
      <c r="Q562" s="12"/>
      <c r="R562" s="17" t="s">
        <v>694</v>
      </c>
      <c r="S562" s="11" t="s">
        <v>187</v>
      </c>
      <c r="T562" s="12"/>
      <c r="U562" s="10" t="str">
        <f>HYPERLINK("https://pbs.twimg.com/profile_images/1016653788617363456/m3b3jqW5.jpg","View")</f>
        <v>View</v>
      </c>
    </row>
    <row r="563" spans="1:21" ht="40.799999999999997">
      <c r="A563" s="6">
        <v>43423.518703703703</v>
      </c>
      <c r="B563" s="7" t="str">
        <f>HYPERLINK("https://twitter.com/Alternativa_VOX","@Alternativa_VOX")</f>
        <v>@Alternativa_VOX</v>
      </c>
      <c r="C563" s="8" t="s">
        <v>977</v>
      </c>
      <c r="D563" s="9" t="s">
        <v>2035</v>
      </c>
      <c r="E563" s="10" t="str">
        <f>HYPERLINK("https://twitter.com/Alternativa_VOX/status/1064480135393480706","1064480135393480706")</f>
        <v>1064480135393480706</v>
      </c>
      <c r="F563" s="12"/>
      <c r="G563" s="11" t="s">
        <v>2036</v>
      </c>
      <c r="H563" s="12"/>
      <c r="I563" s="13">
        <v>116</v>
      </c>
      <c r="J563" s="13">
        <v>193</v>
      </c>
      <c r="K563" s="14" t="str">
        <f>HYPERLINK("http://twitter.com/download/iphone","Twitter for iPhone")</f>
        <v>Twitter for iPhone</v>
      </c>
      <c r="L563" s="13">
        <v>14295</v>
      </c>
      <c r="M563" s="13">
        <v>2342</v>
      </c>
      <c r="N563" s="13">
        <v>63</v>
      </c>
      <c r="O563" s="15"/>
      <c r="P563" s="6">
        <v>42414.677303240736</v>
      </c>
      <c r="Q563" s="12"/>
      <c r="R563" s="17" t="s">
        <v>981</v>
      </c>
      <c r="S563" s="12"/>
      <c r="T563" s="12"/>
      <c r="U563" s="10" t="str">
        <f>HYPERLINK("https://pbs.twimg.com/profile_images/1054080233844936705/IYgqsUMs.jpg","View")</f>
        <v>View</v>
      </c>
    </row>
    <row r="564" spans="1:21" ht="51">
      <c r="A564" s="6">
        <v>43423.510416666672</v>
      </c>
      <c r="B564" s="7" t="str">
        <f>HYPERLINK("https://twitter.com/indpcom","@indpcom")</f>
        <v>@indpcom</v>
      </c>
      <c r="C564" s="8" t="s">
        <v>1753</v>
      </c>
      <c r="D564" s="9" t="s">
        <v>1940</v>
      </c>
      <c r="E564" s="10" t="str">
        <f>HYPERLINK("https://twitter.com/indpcom/status/1064477133546930177","1064477133546930177")</f>
        <v>1064477133546930177</v>
      </c>
      <c r="F564" s="11" t="s">
        <v>1941</v>
      </c>
      <c r="G564" s="12"/>
      <c r="H564" s="12"/>
      <c r="I564" s="13">
        <v>0</v>
      </c>
      <c r="J564" s="13">
        <v>0</v>
      </c>
      <c r="K564" s="14" t="str">
        <f>HYPERLINK("https://about.twitter.com/products/tweetdeck","TweetDeck")</f>
        <v>TweetDeck</v>
      </c>
      <c r="L564" s="13">
        <v>57680</v>
      </c>
      <c r="M564" s="13">
        <v>1302</v>
      </c>
      <c r="N564" s="13">
        <v>1099</v>
      </c>
      <c r="O564" s="23" t="s">
        <v>186</v>
      </c>
      <c r="P564" s="6">
        <v>42537.702719907407</v>
      </c>
      <c r="Q564" s="16" t="s">
        <v>44</v>
      </c>
      <c r="R564" s="17" t="s">
        <v>1756</v>
      </c>
      <c r="S564" s="11" t="s">
        <v>1757</v>
      </c>
      <c r="T564" s="12"/>
      <c r="U564" s="10" t="str">
        <f>HYPERLINK("https://pbs.twimg.com/profile_images/773807977069420544/o4tNI4zQ.jpg","View")</f>
        <v>View</v>
      </c>
    </row>
    <row r="565" spans="1:21" ht="13.2">
      <c r="A565" s="6">
        <v>43423.502233796295</v>
      </c>
      <c r="B565" s="7" t="str">
        <f>HYPERLINK("https://twitter.com/chechurecuero","@chechurecuero")</f>
        <v>@chechurecuero</v>
      </c>
      <c r="C565" s="8" t="s">
        <v>2389</v>
      </c>
      <c r="D565" s="9" t="s">
        <v>2390</v>
      </c>
      <c r="E565" s="10" t="str">
        <f>HYPERLINK("https://twitter.com/chechurecuero/status/1064474168761176064","1064474168761176064")</f>
        <v>1064474168761176064</v>
      </c>
      <c r="F565" s="12"/>
      <c r="G565" s="12"/>
      <c r="H565" s="12"/>
      <c r="I565" s="13">
        <v>0</v>
      </c>
      <c r="J565" s="13">
        <v>1</v>
      </c>
      <c r="K565" s="14" t="str">
        <f>HYPERLINK("http://twitter.com/download/android","Twitter for Android")</f>
        <v>Twitter for Android</v>
      </c>
      <c r="L565" s="13">
        <v>205</v>
      </c>
      <c r="M565" s="13">
        <v>297</v>
      </c>
      <c r="N565" s="13">
        <v>9</v>
      </c>
      <c r="O565" s="15"/>
      <c r="P565" s="6">
        <v>40724.765868055554</v>
      </c>
      <c r="Q565" s="16" t="s">
        <v>44</v>
      </c>
      <c r="R565" s="17" t="s">
        <v>2393</v>
      </c>
      <c r="S565" s="12"/>
      <c r="T565" s="12"/>
      <c r="U565" s="10" t="str">
        <f>HYPERLINK("https://pbs.twimg.com/profile_images/974596508900384770/OEWPzD7n.jpg","View")</f>
        <v>View</v>
      </c>
    </row>
    <row r="566" spans="1:21" ht="61.2">
      <c r="A566" s="6">
        <v>43423.498298611114</v>
      </c>
      <c r="B566" s="7" t="str">
        <f>HYPERLINK("https://twitter.com/robersanchez98","@robersanchez98")</f>
        <v>@robersanchez98</v>
      </c>
      <c r="C566" s="8" t="s">
        <v>2037</v>
      </c>
      <c r="D566" s="9" t="s">
        <v>2038</v>
      </c>
      <c r="E566" s="10" t="str">
        <f>HYPERLINK("https://twitter.com/robersanchez98/status/1064472742299340800","1064472742299340800")</f>
        <v>1064472742299340800</v>
      </c>
      <c r="F566" s="12"/>
      <c r="G566" s="12"/>
      <c r="H566" s="12"/>
      <c r="I566" s="13">
        <v>1</v>
      </c>
      <c r="J566" s="13">
        <v>1</v>
      </c>
      <c r="K566" s="14" t="str">
        <f>HYPERLINK("http://twitter.com","Twitter Web Client")</f>
        <v>Twitter Web Client</v>
      </c>
      <c r="L566" s="13">
        <v>239</v>
      </c>
      <c r="M566" s="13">
        <v>446</v>
      </c>
      <c r="N566" s="13">
        <v>9</v>
      </c>
      <c r="O566" s="15"/>
      <c r="P566" s="6">
        <v>41909.51258101852</v>
      </c>
      <c r="Q566" s="16" t="s">
        <v>1875</v>
      </c>
      <c r="R566" s="17" t="s">
        <v>2039</v>
      </c>
      <c r="S566" s="12"/>
      <c r="T566" s="12"/>
      <c r="U566" s="10" t="str">
        <f>HYPERLINK("https://pbs.twimg.com/profile_images/1031962076003147776/JvDVrA12.jpg","View")</f>
        <v>View</v>
      </c>
    </row>
    <row r="567" spans="1:21" ht="51">
      <c r="A567" s="6">
        <v>43423.491840277777</v>
      </c>
      <c r="B567" s="7" t="str">
        <f>HYPERLINK("https://twitter.com/FundacionDels","@FundacionDels")</f>
        <v>@FundacionDels</v>
      </c>
      <c r="C567" s="8" t="s">
        <v>2110</v>
      </c>
      <c r="D567" s="9" t="s">
        <v>2398</v>
      </c>
      <c r="E567" s="10" t="str">
        <f>HYPERLINK("https://twitter.com/FundacionDels/status/1064470400946634752","1064470400946634752")</f>
        <v>1064470400946634752</v>
      </c>
      <c r="F567" s="12"/>
      <c r="G567" s="12"/>
      <c r="H567" s="12"/>
      <c r="I567" s="13">
        <v>5</v>
      </c>
      <c r="J567" s="13">
        <v>29</v>
      </c>
      <c r="K567" s="14" t="str">
        <f>HYPERLINK("http://twitter.com/download/android","Twitter for Android")</f>
        <v>Twitter for Android</v>
      </c>
      <c r="L567" s="13">
        <v>3274</v>
      </c>
      <c r="M567" s="13">
        <v>633</v>
      </c>
      <c r="N567" s="13">
        <v>14</v>
      </c>
      <c r="O567" s="15"/>
      <c r="P567" s="6">
        <v>43209.028078703705</v>
      </c>
      <c r="Q567" s="12"/>
      <c r="R567" s="17" t="s">
        <v>2115</v>
      </c>
      <c r="S567" s="12"/>
      <c r="T567" s="12"/>
      <c r="U567" s="10" t="str">
        <f>HYPERLINK("https://pbs.twimg.com/profile_images/1063499450256171009/rN5CThYU.jpg","View")</f>
        <v>View</v>
      </c>
    </row>
    <row r="568" spans="1:21" ht="51">
      <c r="A568" s="6">
        <v>43423.489629629628</v>
      </c>
      <c r="B568" s="7" t="str">
        <f>HYPERLINK("https://twitter.com/vox_alcoi","@vox_alcoi")</f>
        <v>@vox_alcoi</v>
      </c>
      <c r="C568" s="8" t="s">
        <v>2040</v>
      </c>
      <c r="D568" s="9" t="s">
        <v>2041</v>
      </c>
      <c r="E568" s="10" t="str">
        <f>HYPERLINK("https://twitter.com/vox_alcoi/status/1064469601621282816","1064469601621282816")</f>
        <v>1064469601621282816</v>
      </c>
      <c r="F568" s="12"/>
      <c r="G568" s="11" t="s">
        <v>2042</v>
      </c>
      <c r="H568" s="12"/>
      <c r="I568" s="13">
        <v>1</v>
      </c>
      <c r="J568" s="13">
        <v>5</v>
      </c>
      <c r="K568" s="14" t="str">
        <f>HYPERLINK("https://about.twitter.com/products/tweetdeck","TweetDeck")</f>
        <v>TweetDeck</v>
      </c>
      <c r="L568" s="13">
        <v>1026</v>
      </c>
      <c r="M568" s="13">
        <v>309</v>
      </c>
      <c r="N568" s="13">
        <v>8</v>
      </c>
      <c r="O568" s="15"/>
      <c r="P568" s="6">
        <v>42548.516863425924</v>
      </c>
      <c r="Q568" s="16" t="s">
        <v>2043</v>
      </c>
      <c r="R568" s="17" t="s">
        <v>2044</v>
      </c>
      <c r="S568" s="11" t="s">
        <v>2045</v>
      </c>
      <c r="T568" s="12"/>
      <c r="U568" s="10" t="str">
        <f>HYPERLINK("https://pbs.twimg.com/profile_images/1037104063266140166/FT5XmrFT.jpg","View")</f>
        <v>View</v>
      </c>
    </row>
    <row r="569" spans="1:21" ht="112.2">
      <c r="A569" s="6">
        <v>43423.476979166662</v>
      </c>
      <c r="B569" s="7" t="str">
        <f>HYPERLINK("https://twitter.com/pipio44","@pipio44")</f>
        <v>@pipio44</v>
      </c>
      <c r="C569" s="8" t="s">
        <v>2046</v>
      </c>
      <c r="D569" s="9" t="s">
        <v>2047</v>
      </c>
      <c r="E569" s="10" t="str">
        <f>HYPERLINK("https://twitter.com/pipio44/status/1064465015221174273","1064465015221174273")</f>
        <v>1064465015221174273</v>
      </c>
      <c r="F569" s="11" t="s">
        <v>2048</v>
      </c>
      <c r="G569" s="12"/>
      <c r="H569" s="12"/>
      <c r="I569" s="13">
        <v>1</v>
      </c>
      <c r="J569" s="13">
        <v>0</v>
      </c>
      <c r="K569" s="14" t="str">
        <f>HYPERLINK("http://twitter.com/download/iphone","Twitter for iPhone")</f>
        <v>Twitter for iPhone</v>
      </c>
      <c r="L569" s="13">
        <v>737</v>
      </c>
      <c r="M569" s="13">
        <v>544</v>
      </c>
      <c r="N569" s="13">
        <v>28</v>
      </c>
      <c r="O569" s="15"/>
      <c r="P569" s="6">
        <v>40771.038275462961</v>
      </c>
      <c r="Q569" s="12"/>
      <c r="R569" s="17" t="s">
        <v>2049</v>
      </c>
      <c r="S569" s="12"/>
      <c r="T569" s="12"/>
      <c r="U569" s="10" t="str">
        <f>HYPERLINK("https://pbs.twimg.com/profile_images/1052141810347364353/8JWxa8CG.jpg","View")</f>
        <v>View</v>
      </c>
    </row>
    <row r="570" spans="1:21" ht="61.2">
      <c r="A570" s="6">
        <v>43423.475104166668</v>
      </c>
      <c r="B570" s="7" t="str">
        <f>HYPERLINK("https://twitter.com/sai54","@sai54")</f>
        <v>@sai54</v>
      </c>
      <c r="C570" s="8" t="s">
        <v>2050</v>
      </c>
      <c r="D570" s="9" t="s">
        <v>2051</v>
      </c>
      <c r="E570" s="10" t="str">
        <f>HYPERLINK("https://twitter.com/sai54/status/1064464336956084224","1064464336956084224")</f>
        <v>1064464336956084224</v>
      </c>
      <c r="F570" s="11" t="s">
        <v>2052</v>
      </c>
      <c r="G570" s="11" t="s">
        <v>2053</v>
      </c>
      <c r="H570" s="12"/>
      <c r="I570" s="13">
        <v>0</v>
      </c>
      <c r="J570" s="13">
        <v>1</v>
      </c>
      <c r="K570" s="14" t="str">
        <f t="shared" ref="K570:K571" si="186">HYPERLINK("http://twitter.com/download/android","Twitter for Android")</f>
        <v>Twitter for Android</v>
      </c>
      <c r="L570" s="13">
        <v>786</v>
      </c>
      <c r="M570" s="13">
        <v>1135</v>
      </c>
      <c r="N570" s="13">
        <v>24</v>
      </c>
      <c r="O570" s="15"/>
      <c r="P570" s="6">
        <v>39253.794571759259</v>
      </c>
      <c r="Q570" s="16" t="s">
        <v>66</v>
      </c>
      <c r="R570" s="17" t="s">
        <v>2054</v>
      </c>
      <c r="S570" s="11" t="s">
        <v>2055</v>
      </c>
      <c r="T570" s="12"/>
      <c r="U570" s="10" t="str">
        <f>HYPERLINK("https://pbs.twimg.com/profile_images/1022888899465682944/GmBUdSPS.jpg","View")</f>
        <v>View</v>
      </c>
    </row>
    <row r="571" spans="1:21" ht="30.6">
      <c r="A571" s="6">
        <v>43423.458634259259</v>
      </c>
      <c r="B571" s="7" t="str">
        <f>HYPERLINK("https://twitter.com/Somoslevedad","@Somoslevedad")</f>
        <v>@Somoslevedad</v>
      </c>
      <c r="C571" s="8" t="s">
        <v>2413</v>
      </c>
      <c r="D571" s="9" t="s">
        <v>2414</v>
      </c>
      <c r="E571" s="10" t="str">
        <f>HYPERLINK("https://twitter.com/Somoslevedad/status/1064458368285315072","1064458368285315072")</f>
        <v>1064458368285315072</v>
      </c>
      <c r="F571" s="12"/>
      <c r="G571" s="12"/>
      <c r="H571" s="12"/>
      <c r="I571" s="13">
        <v>0</v>
      </c>
      <c r="J571" s="13">
        <v>2</v>
      </c>
      <c r="K571" s="14" t="str">
        <f t="shared" si="186"/>
        <v>Twitter for Android</v>
      </c>
      <c r="L571" s="13">
        <v>324</v>
      </c>
      <c r="M571" s="13">
        <v>284</v>
      </c>
      <c r="N571" s="13">
        <v>4</v>
      </c>
      <c r="O571" s="15"/>
      <c r="P571" s="6">
        <v>40620.730057870373</v>
      </c>
      <c r="Q571" s="16" t="s">
        <v>1319</v>
      </c>
      <c r="R571" s="17" t="s">
        <v>2416</v>
      </c>
      <c r="S571" s="12"/>
      <c r="T571" s="12"/>
      <c r="U571" s="10" t="str">
        <f>HYPERLINK("https://pbs.twimg.com/profile_images/918746036092456960/f0LUlnd_.jpg","View")</f>
        <v>View</v>
      </c>
    </row>
    <row r="572" spans="1:21" ht="51">
      <c r="A572" s="6">
        <v>43423.45212962963</v>
      </c>
      <c r="B572" s="7" t="str">
        <f>HYPERLINK("https://twitter.com/chispy92","@chispy92")</f>
        <v>@chispy92</v>
      </c>
      <c r="C572" s="8" t="s">
        <v>2056</v>
      </c>
      <c r="D572" s="9" t="s">
        <v>2057</v>
      </c>
      <c r="E572" s="10" t="str">
        <f>HYPERLINK("https://twitter.com/chispy92/status/1064456012277719040","1064456012277719040")</f>
        <v>1064456012277719040</v>
      </c>
      <c r="F572" s="16" t="s">
        <v>2058</v>
      </c>
      <c r="G572" s="12"/>
      <c r="H572" s="12"/>
      <c r="I572" s="13">
        <v>0</v>
      </c>
      <c r="J572" s="13">
        <v>0</v>
      </c>
      <c r="K572" s="14" t="str">
        <f>HYPERLINK("http://twitter.com/download/iphone","Twitter for iPhone")</f>
        <v>Twitter for iPhone</v>
      </c>
      <c r="L572" s="13">
        <v>177</v>
      </c>
      <c r="M572" s="13">
        <v>222</v>
      </c>
      <c r="N572" s="13">
        <v>3</v>
      </c>
      <c r="O572" s="15"/>
      <c r="P572" s="6">
        <v>40790.908402777779</v>
      </c>
      <c r="Q572" s="16" t="s">
        <v>104</v>
      </c>
      <c r="R572" s="17" t="s">
        <v>2059</v>
      </c>
      <c r="S572" s="12"/>
      <c r="T572" s="12"/>
      <c r="U572" s="10" t="str">
        <f>HYPERLINK("https://pbs.twimg.com/profile_images/2528478421/IMG-20120821-WA000.jpg","View")</f>
        <v>View</v>
      </c>
    </row>
    <row r="573" spans="1:21" ht="51">
      <c r="A573" s="6">
        <v>43423.444872685184</v>
      </c>
      <c r="B573" s="7" t="str">
        <f>HYPERLINK("https://twitter.com/edp","@edp")</f>
        <v>@edp</v>
      </c>
      <c r="C573" s="8" t="s">
        <v>2060</v>
      </c>
      <c r="D573" s="9" t="s">
        <v>2061</v>
      </c>
      <c r="E573" s="10" t="str">
        <f>HYPERLINK("https://twitter.com/edp/status/1064453382939779072","1064453382939779072")</f>
        <v>1064453382939779072</v>
      </c>
      <c r="F573" s="12"/>
      <c r="G573" s="12"/>
      <c r="H573" s="12"/>
      <c r="I573" s="13">
        <v>2</v>
      </c>
      <c r="J573" s="13">
        <v>2</v>
      </c>
      <c r="K573" s="14" t="str">
        <f>HYPERLINK("http://twitter.com","Twitter Web Client")</f>
        <v>Twitter Web Client</v>
      </c>
      <c r="L573" s="13">
        <v>5614</v>
      </c>
      <c r="M573" s="13">
        <v>4117</v>
      </c>
      <c r="N573" s="13">
        <v>29</v>
      </c>
      <c r="O573" s="15"/>
      <c r="P573" s="6">
        <v>39289.674039351856</v>
      </c>
      <c r="Q573" s="16" t="s">
        <v>2062</v>
      </c>
      <c r="R573" s="17" t="s">
        <v>2063</v>
      </c>
      <c r="S573" s="11" t="s">
        <v>2064</v>
      </c>
      <c r="T573" s="12"/>
      <c r="U573" s="10" t="str">
        <f>HYPERLINK("https://pbs.twimg.com/profile_images/922061033530896385/ykySPqpK.jpg","View")</f>
        <v>View</v>
      </c>
    </row>
    <row r="574" spans="1:21" ht="51">
      <c r="A574" s="6">
        <v>43423.433020833334</v>
      </c>
      <c r="B574" s="7" t="str">
        <f t="shared" ref="B574:B578" si="187">HYPERLINK("https://twitter.com/lunadebenidorm","@lunadebenidorm")</f>
        <v>@lunadebenidorm</v>
      </c>
      <c r="C574" s="8" t="s">
        <v>106</v>
      </c>
      <c r="D574" s="9" t="s">
        <v>2065</v>
      </c>
      <c r="E574" s="10" t="str">
        <f>HYPERLINK("https://twitter.com/lunadebenidorm/status/1064449088501047296","1064449088501047296")</f>
        <v>1064449088501047296</v>
      </c>
      <c r="F574" s="12"/>
      <c r="G574" s="12"/>
      <c r="H574" s="12"/>
      <c r="I574" s="13">
        <v>3</v>
      </c>
      <c r="J574" s="13">
        <v>2</v>
      </c>
      <c r="K574" s="14" t="str">
        <f t="shared" ref="K574:K578" si="188">HYPERLINK("http://twitter.com/download/android","Twitter for Android")</f>
        <v>Twitter for Android</v>
      </c>
      <c r="L574" s="13">
        <v>3991</v>
      </c>
      <c r="M574" s="13">
        <v>3978</v>
      </c>
      <c r="N574" s="13">
        <v>79</v>
      </c>
      <c r="O574" s="15"/>
      <c r="P574" s="6">
        <v>41461.81186342593</v>
      </c>
      <c r="Q574" s="12"/>
      <c r="R574" s="17" t="s">
        <v>108</v>
      </c>
      <c r="S574" s="12"/>
      <c r="T574" s="12"/>
      <c r="U574" s="10" t="str">
        <f t="shared" ref="U574:U578" si="189">HYPERLINK("https://pbs.twimg.com/profile_images/1061229593758257153/rePCQt08.jpg","View")</f>
        <v>View</v>
      </c>
    </row>
    <row r="575" spans="1:21" ht="61.2">
      <c r="A575" s="6">
        <v>43423.425115740742</v>
      </c>
      <c r="B575" s="7" t="str">
        <f t="shared" si="187"/>
        <v>@lunadebenidorm</v>
      </c>
      <c r="C575" s="8" t="s">
        <v>106</v>
      </c>
      <c r="D575" s="9" t="s">
        <v>2066</v>
      </c>
      <c r="E575" s="10" t="str">
        <f>HYPERLINK("https://twitter.com/lunadebenidorm/status/1064446221669097473","1064446221669097473")</f>
        <v>1064446221669097473</v>
      </c>
      <c r="F575" s="12"/>
      <c r="G575" s="12"/>
      <c r="H575" s="12"/>
      <c r="I575" s="13">
        <v>0</v>
      </c>
      <c r="J575" s="13">
        <v>0</v>
      </c>
      <c r="K575" s="14" t="str">
        <f t="shared" si="188"/>
        <v>Twitter for Android</v>
      </c>
      <c r="L575" s="13">
        <v>3991</v>
      </c>
      <c r="M575" s="13">
        <v>3978</v>
      </c>
      <c r="N575" s="13">
        <v>79</v>
      </c>
      <c r="O575" s="15"/>
      <c r="P575" s="6">
        <v>41461.81186342593</v>
      </c>
      <c r="Q575" s="12"/>
      <c r="R575" s="17" t="s">
        <v>108</v>
      </c>
      <c r="S575" s="12"/>
      <c r="T575" s="12"/>
      <c r="U575" s="10" t="str">
        <f t="shared" si="189"/>
        <v>View</v>
      </c>
    </row>
    <row r="576" spans="1:21" ht="61.2">
      <c r="A576" s="6">
        <v>43423.416527777779</v>
      </c>
      <c r="B576" s="7" t="str">
        <f t="shared" si="187"/>
        <v>@lunadebenidorm</v>
      </c>
      <c r="C576" s="8" t="s">
        <v>106</v>
      </c>
      <c r="D576" s="9" t="s">
        <v>2067</v>
      </c>
      <c r="E576" s="10" t="str">
        <f>HYPERLINK("https://twitter.com/lunadebenidorm/status/1064443108170051585","1064443108170051585")</f>
        <v>1064443108170051585</v>
      </c>
      <c r="F576" s="12"/>
      <c r="G576" s="12"/>
      <c r="H576" s="12"/>
      <c r="I576" s="13">
        <v>0</v>
      </c>
      <c r="J576" s="13">
        <v>0</v>
      </c>
      <c r="K576" s="14" t="str">
        <f t="shared" si="188"/>
        <v>Twitter for Android</v>
      </c>
      <c r="L576" s="13">
        <v>3991</v>
      </c>
      <c r="M576" s="13">
        <v>3978</v>
      </c>
      <c r="N576" s="13">
        <v>79</v>
      </c>
      <c r="O576" s="15"/>
      <c r="P576" s="6">
        <v>41461.81186342593</v>
      </c>
      <c r="Q576" s="12"/>
      <c r="R576" s="17" t="s">
        <v>108</v>
      </c>
      <c r="S576" s="12"/>
      <c r="T576" s="12"/>
      <c r="U576" s="10" t="str">
        <f t="shared" si="189"/>
        <v>View</v>
      </c>
    </row>
    <row r="577" spans="1:21" ht="40.799999999999997">
      <c r="A577" s="6">
        <v>43423.405023148152</v>
      </c>
      <c r="B577" s="7" t="str">
        <f t="shared" si="187"/>
        <v>@lunadebenidorm</v>
      </c>
      <c r="C577" s="8" t="s">
        <v>106</v>
      </c>
      <c r="D577" s="9" t="s">
        <v>2070</v>
      </c>
      <c r="E577" s="10" t="str">
        <f>HYPERLINK("https://twitter.com/lunadebenidorm/status/1064438939187073024","1064438939187073024")</f>
        <v>1064438939187073024</v>
      </c>
      <c r="F577" s="12"/>
      <c r="G577" s="11" t="s">
        <v>2073</v>
      </c>
      <c r="H577" s="12"/>
      <c r="I577" s="13">
        <v>0</v>
      </c>
      <c r="J577" s="13">
        <v>0</v>
      </c>
      <c r="K577" s="14" t="str">
        <f t="shared" si="188"/>
        <v>Twitter for Android</v>
      </c>
      <c r="L577" s="13">
        <v>3991</v>
      </c>
      <c r="M577" s="13">
        <v>3978</v>
      </c>
      <c r="N577" s="13">
        <v>79</v>
      </c>
      <c r="O577" s="15"/>
      <c r="P577" s="6">
        <v>41461.81186342593</v>
      </c>
      <c r="Q577" s="12"/>
      <c r="R577" s="17" t="s">
        <v>108</v>
      </c>
      <c r="S577" s="12"/>
      <c r="T577" s="12"/>
      <c r="U577" s="10" t="str">
        <f t="shared" si="189"/>
        <v>View</v>
      </c>
    </row>
    <row r="578" spans="1:21" ht="13.2">
      <c r="A578" s="6">
        <v>43423.402037037042</v>
      </c>
      <c r="B578" s="7" t="str">
        <f t="shared" si="187"/>
        <v>@lunadebenidorm</v>
      </c>
      <c r="C578" s="8" t="s">
        <v>106</v>
      </c>
      <c r="D578" s="9" t="s">
        <v>2074</v>
      </c>
      <c r="E578" s="10" t="str">
        <f>HYPERLINK("https://twitter.com/lunadebenidorm/status/1064437858642128897","1064437858642128897")</f>
        <v>1064437858642128897</v>
      </c>
      <c r="F578" s="12"/>
      <c r="G578" s="11" t="s">
        <v>2075</v>
      </c>
      <c r="H578" s="12"/>
      <c r="I578" s="13">
        <v>0</v>
      </c>
      <c r="J578" s="13">
        <v>0</v>
      </c>
      <c r="K578" s="14" t="str">
        <f t="shared" si="188"/>
        <v>Twitter for Android</v>
      </c>
      <c r="L578" s="13">
        <v>3991</v>
      </c>
      <c r="M578" s="13">
        <v>3978</v>
      </c>
      <c r="N578" s="13">
        <v>79</v>
      </c>
      <c r="O578" s="15"/>
      <c r="P578" s="6">
        <v>41461.81186342593</v>
      </c>
      <c r="Q578" s="12"/>
      <c r="R578" s="17" t="s">
        <v>108</v>
      </c>
      <c r="S578" s="12"/>
      <c r="T578" s="12"/>
      <c r="U578" s="10" t="str">
        <f t="shared" si="189"/>
        <v>View</v>
      </c>
    </row>
    <row r="579" spans="1:21" ht="102">
      <c r="A579" s="6">
        <v>43423.399108796293</v>
      </c>
      <c r="B579" s="7" t="str">
        <f>HYPERLINK("https://twitter.com/El_Cid_Vive","@El_Cid_Vive")</f>
        <v>@El_Cid_Vive</v>
      </c>
      <c r="C579" s="8" t="s">
        <v>2076</v>
      </c>
      <c r="D579" s="9" t="s">
        <v>2077</v>
      </c>
      <c r="E579" s="10" t="str">
        <f>HYPERLINK("https://twitter.com/El_Cid_Vive/status/1064436799240658944","1064436799240658944")</f>
        <v>1064436799240658944</v>
      </c>
      <c r="F579" s="11" t="s">
        <v>2078</v>
      </c>
      <c r="G579" s="11" t="s">
        <v>2079</v>
      </c>
      <c r="H579" s="12"/>
      <c r="I579" s="13">
        <v>0</v>
      </c>
      <c r="J579" s="13">
        <v>0</v>
      </c>
      <c r="K579" s="14" t="str">
        <f>HYPERLINK("http://twitter.com/download/iphone","Twitter for iPhone")</f>
        <v>Twitter for iPhone</v>
      </c>
      <c r="L579" s="13">
        <v>128</v>
      </c>
      <c r="M579" s="13">
        <v>147</v>
      </c>
      <c r="N579" s="13">
        <v>2</v>
      </c>
      <c r="O579" s="15"/>
      <c r="P579" s="6">
        <v>42012.027349537035</v>
      </c>
      <c r="Q579" s="16" t="s">
        <v>2080</v>
      </c>
      <c r="R579" s="17" t="s">
        <v>2081</v>
      </c>
      <c r="S579" s="12"/>
      <c r="T579" s="12"/>
      <c r="U579" s="10" t="str">
        <f>HYPERLINK("https://pbs.twimg.com/profile_images/553161905561681920/k3k0IcCC.jpeg","View")</f>
        <v>View</v>
      </c>
    </row>
    <row r="580" spans="1:21" ht="20.399999999999999">
      <c r="A580" s="6">
        <v>43423.392268518517</v>
      </c>
      <c r="B580" s="7" t="str">
        <f>HYPERLINK("https://twitter.com/elarbeyu","@elarbeyu")</f>
        <v>@elarbeyu</v>
      </c>
      <c r="C580" s="8" t="s">
        <v>2431</v>
      </c>
      <c r="D580" s="9" t="s">
        <v>2432</v>
      </c>
      <c r="E580" s="10" t="str">
        <f>HYPERLINK("https://twitter.com/elarbeyu/status/1064434319987535872","1064434319987535872")</f>
        <v>1064434319987535872</v>
      </c>
      <c r="F580" s="11" t="s">
        <v>2433</v>
      </c>
      <c r="G580" s="12"/>
      <c r="H580" s="12"/>
      <c r="I580" s="13">
        <v>0</v>
      </c>
      <c r="J580" s="13">
        <v>0</v>
      </c>
      <c r="K580" s="14" t="str">
        <f>HYPERLINK("http://www.facebook.com/twitter","Facebook")</f>
        <v>Facebook</v>
      </c>
      <c r="L580" s="13">
        <v>862</v>
      </c>
      <c r="M580" s="13">
        <v>2247</v>
      </c>
      <c r="N580" s="13">
        <v>28</v>
      </c>
      <c r="O580" s="15"/>
      <c r="P580" s="6">
        <v>42009.633981481486</v>
      </c>
      <c r="Q580" s="16" t="s">
        <v>2435</v>
      </c>
      <c r="R580" s="17" t="s">
        <v>2436</v>
      </c>
      <c r="S580" s="12"/>
      <c r="T580" s="12"/>
      <c r="U580" s="10" t="str">
        <f>HYPERLINK("https://pbs.twimg.com/profile_images/874302170560114690/jgMIFW6o.jpg","View")</f>
        <v>View</v>
      </c>
    </row>
    <row r="581" spans="1:21" ht="30.6">
      <c r="A581" s="6">
        <v>43423.387835648144</v>
      </c>
      <c r="B581" s="7" t="str">
        <f>HYPERLINK("https://twitter.com/toni_hm","@toni_hm")</f>
        <v>@toni_hm</v>
      </c>
      <c r="C581" s="8" t="s">
        <v>2082</v>
      </c>
      <c r="D581" s="9" t="s">
        <v>2083</v>
      </c>
      <c r="E581" s="10" t="str">
        <f>HYPERLINK("https://twitter.com/toni_hm/status/1064432714466631680","1064432714466631680")</f>
        <v>1064432714466631680</v>
      </c>
      <c r="F581" s="12"/>
      <c r="G581" s="12"/>
      <c r="H581" s="12"/>
      <c r="I581" s="13">
        <v>0</v>
      </c>
      <c r="J581" s="13">
        <v>0</v>
      </c>
      <c r="K581" s="14" t="str">
        <f>HYPERLINK("https://mobile.twitter.com","Twitter Lite")</f>
        <v>Twitter Lite</v>
      </c>
      <c r="L581" s="13">
        <v>162</v>
      </c>
      <c r="M581" s="13">
        <v>435</v>
      </c>
      <c r="N581" s="13">
        <v>2</v>
      </c>
      <c r="O581" s="15"/>
      <c r="P581" s="6">
        <v>42711.472083333334</v>
      </c>
      <c r="Q581" s="16" t="s">
        <v>88</v>
      </c>
      <c r="R581" s="17" t="s">
        <v>2084</v>
      </c>
      <c r="S581" s="12"/>
      <c r="T581" s="12"/>
      <c r="U581" s="10" t="str">
        <f>HYPERLINK("https://pbs.twimg.com/profile_images/915484290464587776/hV7DgFjH.jpg","View")</f>
        <v>View</v>
      </c>
    </row>
    <row r="582" spans="1:21" ht="40.799999999999997">
      <c r="A582" s="6">
        <v>43423.380474537036</v>
      </c>
      <c r="B582" s="7" t="str">
        <f>HYPERLINK("https://twitter.com/vicpiedra","@vicpiedra")</f>
        <v>@vicpiedra</v>
      </c>
      <c r="C582" s="8" t="s">
        <v>2085</v>
      </c>
      <c r="D582" s="9" t="s">
        <v>2086</v>
      </c>
      <c r="E582" s="10" t="str">
        <f>HYPERLINK("https://twitter.com/vicpiedra/status/1064430046868324352","1064430046868324352")</f>
        <v>1064430046868324352</v>
      </c>
      <c r="F582" s="11" t="s">
        <v>2089</v>
      </c>
      <c r="G582" s="12"/>
      <c r="H582" s="12"/>
      <c r="I582" s="13">
        <v>9</v>
      </c>
      <c r="J582" s="13">
        <v>17</v>
      </c>
      <c r="K582" s="14" t="str">
        <f t="shared" ref="K582:K583" si="190">HYPERLINK("http://twitter.com/download/android","Twitter for Android")</f>
        <v>Twitter for Android</v>
      </c>
      <c r="L582" s="13">
        <v>1278</v>
      </c>
      <c r="M582" s="13">
        <v>863</v>
      </c>
      <c r="N582" s="13">
        <v>12</v>
      </c>
      <c r="O582" s="15"/>
      <c r="P582" s="6">
        <v>39986.580567129626</v>
      </c>
      <c r="Q582" s="12"/>
      <c r="R582" s="17" t="s">
        <v>2091</v>
      </c>
      <c r="S582" s="12"/>
      <c r="T582" s="12"/>
      <c r="U582" s="10" t="str">
        <f>HYPERLINK("https://pbs.twimg.com/profile_images/572165806768951298/NDMTE9pf.jpeg","View")</f>
        <v>View</v>
      </c>
    </row>
    <row r="583" spans="1:21" ht="81.599999999999994">
      <c r="A583" s="6">
        <v>43423.371539351851</v>
      </c>
      <c r="B583" s="7" t="str">
        <f>HYPERLINK("https://twitter.com/jmn2il","@jmn2il")</f>
        <v>@jmn2il</v>
      </c>
      <c r="C583" s="8" t="s">
        <v>2094</v>
      </c>
      <c r="D583" s="9" t="s">
        <v>2095</v>
      </c>
      <c r="E583" s="10" t="str">
        <f>HYPERLINK("https://twitter.com/jmn2il/status/1064426808400142336","1064426808400142336")</f>
        <v>1064426808400142336</v>
      </c>
      <c r="F583" s="16" t="s">
        <v>2096</v>
      </c>
      <c r="G583" s="12"/>
      <c r="H583" s="12"/>
      <c r="I583" s="13">
        <v>0</v>
      </c>
      <c r="J583" s="13">
        <v>1</v>
      </c>
      <c r="K583" s="14" t="str">
        <f t="shared" si="190"/>
        <v>Twitter for Android</v>
      </c>
      <c r="L583" s="13">
        <v>156</v>
      </c>
      <c r="M583" s="13">
        <v>621</v>
      </c>
      <c r="N583" s="13">
        <v>2</v>
      </c>
      <c r="O583" s="15"/>
      <c r="P583" s="6">
        <v>41773.767777777779</v>
      </c>
      <c r="Q583" s="16" t="s">
        <v>644</v>
      </c>
      <c r="R583" s="17" t="s">
        <v>2097</v>
      </c>
      <c r="S583" s="12"/>
      <c r="T583" s="12"/>
      <c r="U583" s="10" t="str">
        <f>HYPERLINK("https://pbs.twimg.com/profile_images/746693086156361728/4SRy10aL.jpg","View")</f>
        <v>View</v>
      </c>
    </row>
    <row r="584" spans="1:21" ht="71.400000000000006">
      <c r="A584" s="6">
        <v>43423.361689814818</v>
      </c>
      <c r="B584" s="7" t="str">
        <f>HYPERLINK("https://twitter.com/pasanchezmatas","@pasanchezmatas")</f>
        <v>@pasanchezmatas</v>
      </c>
      <c r="C584" s="8" t="s">
        <v>2098</v>
      </c>
      <c r="D584" s="9" t="s">
        <v>2099</v>
      </c>
      <c r="E584" s="10" t="str">
        <f>HYPERLINK("https://twitter.com/pasanchezmatas/status/1064423238770544640","1064423238770544640")</f>
        <v>1064423238770544640</v>
      </c>
      <c r="F584" s="11" t="s">
        <v>2102</v>
      </c>
      <c r="G584" s="11" t="s">
        <v>2103</v>
      </c>
      <c r="H584" s="12"/>
      <c r="I584" s="13">
        <v>0</v>
      </c>
      <c r="J584" s="13">
        <v>1</v>
      </c>
      <c r="K584" s="14" t="str">
        <f>HYPERLINK("http://twitter.com","Twitter Web Client")</f>
        <v>Twitter Web Client</v>
      </c>
      <c r="L584" s="13">
        <v>1932</v>
      </c>
      <c r="M584" s="13">
        <v>5001</v>
      </c>
      <c r="N584" s="13">
        <v>19</v>
      </c>
      <c r="O584" s="15"/>
      <c r="P584" s="6">
        <v>41592.824942129628</v>
      </c>
      <c r="Q584" s="16" t="s">
        <v>66</v>
      </c>
      <c r="R584" s="17" t="s">
        <v>2105</v>
      </c>
      <c r="S584" s="12"/>
      <c r="T584" s="12"/>
      <c r="U584" s="10" t="str">
        <f>HYPERLINK("https://pbs.twimg.com/profile_images/771425436161155073/eU9Tl6C0.jpg","View")</f>
        <v>View</v>
      </c>
    </row>
    <row r="585" spans="1:21" ht="40.799999999999997">
      <c r="A585" s="6">
        <v>43423.349363425921</v>
      </c>
      <c r="B585" s="7" t="str">
        <f>HYPERLINK("https://twitter.com/fdavaloso","@fdavaloso")</f>
        <v>@fdavaloso</v>
      </c>
      <c r="C585" s="8" t="s">
        <v>2107</v>
      </c>
      <c r="D585" s="9" t="s">
        <v>2108</v>
      </c>
      <c r="E585" s="10" t="str">
        <f>HYPERLINK("https://twitter.com/fdavaloso/status/1064418771383791616","1064418771383791616")</f>
        <v>1064418771383791616</v>
      </c>
      <c r="F585" s="12"/>
      <c r="G585" s="11" t="s">
        <v>2109</v>
      </c>
      <c r="H585" s="12"/>
      <c r="I585" s="13">
        <v>0</v>
      </c>
      <c r="J585" s="13">
        <v>0</v>
      </c>
      <c r="K585" s="14" t="str">
        <f>HYPERLINK("http://twitter.com/download/iphone","Twitter for iPhone")</f>
        <v>Twitter for iPhone</v>
      </c>
      <c r="L585" s="13">
        <v>1339</v>
      </c>
      <c r="M585" s="13">
        <v>2292</v>
      </c>
      <c r="N585" s="13">
        <v>29</v>
      </c>
      <c r="O585" s="15"/>
      <c r="P585" s="6">
        <v>41360.216597222221</v>
      </c>
      <c r="Q585" s="16" t="s">
        <v>2112</v>
      </c>
      <c r="R585" s="17" t="s">
        <v>2113</v>
      </c>
      <c r="S585" s="11" t="s">
        <v>2114</v>
      </c>
      <c r="T585" s="12"/>
      <c r="U585" s="10" t="str">
        <f>HYPERLINK("https://pbs.twimg.com/profile_images/1058879846946754561/VuZ2hAh1.jpg","View")</f>
        <v>View</v>
      </c>
    </row>
    <row r="586" spans="1:21" ht="40.799999999999997">
      <c r="A586" s="6">
        <v>43423.338182870371</v>
      </c>
      <c r="B586" s="7" t="str">
        <f>HYPERLINK("https://twitter.com/trendinaliaES","@trendinaliaES")</f>
        <v>@trendinaliaES</v>
      </c>
      <c r="C586" s="8" t="s">
        <v>265</v>
      </c>
      <c r="D586" s="9" t="s">
        <v>2116</v>
      </c>
      <c r="E586" s="10" t="str">
        <f>HYPERLINK("https://twitter.com/trendinaliaES/status/1064414718540959744","1064414718540959744")</f>
        <v>1064414718540959744</v>
      </c>
      <c r="F586" s="11" t="s">
        <v>2117</v>
      </c>
      <c r="G586" s="12"/>
      <c r="H586" s="12" t="str">
        <f>HYPERLINK("https://ctrlq.org/maps/address/#40.4203,-3.7058","Map")</f>
        <v>Map</v>
      </c>
      <c r="I586" s="13">
        <v>0</v>
      </c>
      <c r="J586" s="13">
        <v>0</v>
      </c>
      <c r="K586" s="14" t="str">
        <f>HYPERLINK("http://laconversa.com","Es Tendencia en España")</f>
        <v>Es Tendencia en España</v>
      </c>
      <c r="L586" s="13">
        <v>49141</v>
      </c>
      <c r="M586" s="13">
        <v>37</v>
      </c>
      <c r="N586" s="13">
        <v>723</v>
      </c>
      <c r="O586" s="23" t="s">
        <v>186</v>
      </c>
      <c r="P586" s="6">
        <v>41319.819074074076</v>
      </c>
      <c r="Q586" s="16" t="s">
        <v>66</v>
      </c>
      <c r="R586" s="17" t="s">
        <v>268</v>
      </c>
      <c r="S586" s="11" t="s">
        <v>269</v>
      </c>
      <c r="T586" s="12"/>
      <c r="U586" s="10" t="str">
        <f>HYPERLINK("https://pbs.twimg.com/profile_images/696485210821632000/xpdMQ_mE.png","View")</f>
        <v>View</v>
      </c>
    </row>
    <row r="587" spans="1:21" ht="13.2">
      <c r="A587" s="6">
        <v>43423.336400462962</v>
      </c>
      <c r="B587" s="7" t="str">
        <f>HYPERLINK("https://twitter.com/TNylaya","@TNylaya")</f>
        <v>@TNylaya</v>
      </c>
      <c r="C587" s="8" t="s">
        <v>21</v>
      </c>
      <c r="D587" s="9" t="s">
        <v>2462</v>
      </c>
      <c r="E587" s="10" t="str">
        <f>HYPERLINK("https://twitter.com/TNylaya/status/1064414072886706187","1064414072886706187")</f>
        <v>1064414072886706187</v>
      </c>
      <c r="F587" s="11" t="s">
        <v>2463</v>
      </c>
      <c r="G587" s="12"/>
      <c r="H587" s="12"/>
      <c r="I587" s="13">
        <v>0</v>
      </c>
      <c r="J587" s="13">
        <v>0</v>
      </c>
      <c r="K587" s="14" t="str">
        <f t="shared" ref="K587:K588" si="191">HYPERLINK("http://twitter.com/download/android","Twitter for Android")</f>
        <v>Twitter for Android</v>
      </c>
      <c r="L587" s="13">
        <v>82</v>
      </c>
      <c r="M587" s="13">
        <v>268</v>
      </c>
      <c r="N587" s="13">
        <v>0</v>
      </c>
      <c r="O587" s="15"/>
      <c r="P587" s="6">
        <v>43373.076354166667</v>
      </c>
      <c r="Q587" s="12"/>
      <c r="R587" s="17" t="s">
        <v>26</v>
      </c>
      <c r="S587" s="12"/>
      <c r="T587" s="12"/>
      <c r="U587" s="10" t="str">
        <f>HYPERLINK("https://pbs.twimg.com/profile_images/1046188819358322689/x_yItWiC.jpg","View")</f>
        <v>View</v>
      </c>
    </row>
    <row r="588" spans="1:21" ht="30.6">
      <c r="A588" s="6">
        <v>43423.29519675926</v>
      </c>
      <c r="B588" s="7" t="str">
        <f>HYPERLINK("https://twitter.com/alfilvaliente","@alfilvaliente")</f>
        <v>@alfilvaliente</v>
      </c>
      <c r="C588" s="8" t="s">
        <v>63</v>
      </c>
      <c r="D588" s="9" t="s">
        <v>2118</v>
      </c>
      <c r="E588" s="10" t="str">
        <f>HYPERLINK("https://twitter.com/alfilvaliente/status/1064399142863151108","1064399142863151108")</f>
        <v>1064399142863151108</v>
      </c>
      <c r="F588" s="11" t="s">
        <v>2119</v>
      </c>
      <c r="G588" s="12"/>
      <c r="H588" s="12"/>
      <c r="I588" s="13">
        <v>0</v>
      </c>
      <c r="J588" s="13">
        <v>0</v>
      </c>
      <c r="K588" s="14" t="str">
        <f t="shared" si="191"/>
        <v>Twitter for Android</v>
      </c>
      <c r="L588" s="13">
        <v>140</v>
      </c>
      <c r="M588" s="13">
        <v>175</v>
      </c>
      <c r="N588" s="13">
        <v>2</v>
      </c>
      <c r="O588" s="15"/>
      <c r="P588" s="6">
        <v>42155.723541666666</v>
      </c>
      <c r="Q588" s="16" t="s">
        <v>66</v>
      </c>
      <c r="R588" s="17" t="s">
        <v>67</v>
      </c>
      <c r="S588" s="12"/>
      <c r="T588" s="12"/>
      <c r="U588" s="10" t="str">
        <f>HYPERLINK("https://pbs.twimg.com/profile_images/1048557989513322496/MOej_hMM.jpg","View")</f>
        <v>View</v>
      </c>
    </row>
    <row r="589" spans="1:21" ht="51">
      <c r="A589" s="6">
        <v>43423.110208333332</v>
      </c>
      <c r="B589" s="7" t="str">
        <f>HYPERLINK("https://twitter.com/Cuetano68","@Cuetano68")</f>
        <v>@Cuetano68</v>
      </c>
      <c r="C589" s="8" t="s">
        <v>70</v>
      </c>
      <c r="D589" s="9" t="s">
        <v>2120</v>
      </c>
      <c r="E589" s="10" t="str">
        <f>HYPERLINK("https://twitter.com/Cuetano68/status/1064332102164975617","1064332102164975617")</f>
        <v>1064332102164975617</v>
      </c>
      <c r="F589" s="11" t="s">
        <v>2121</v>
      </c>
      <c r="G589" s="12"/>
      <c r="H589" s="12"/>
      <c r="I589" s="13">
        <v>9</v>
      </c>
      <c r="J589" s="13">
        <v>5</v>
      </c>
      <c r="K589" s="14" t="str">
        <f t="shared" ref="K589:K593" si="192">HYPERLINK("http://twitter.com","Twitter Web Client")</f>
        <v>Twitter Web Client</v>
      </c>
      <c r="L589" s="13">
        <v>5832</v>
      </c>
      <c r="M589" s="13">
        <v>6113</v>
      </c>
      <c r="N589" s="13">
        <v>121</v>
      </c>
      <c r="O589" s="15"/>
      <c r="P589" s="6">
        <v>40725.851666666669</v>
      </c>
      <c r="Q589" s="16" t="s">
        <v>74</v>
      </c>
      <c r="R589" s="17" t="s">
        <v>75</v>
      </c>
      <c r="S589" s="11" t="s">
        <v>76</v>
      </c>
      <c r="T589" s="12"/>
      <c r="U589" s="10" t="str">
        <f>HYPERLINK("https://pbs.twimg.com/profile_images/900511161799639040/5J9IE4Yv.jpg","View")</f>
        <v>View</v>
      </c>
    </row>
    <row r="590" spans="1:21" ht="102">
      <c r="A590" s="6">
        <v>43423.10774305556</v>
      </c>
      <c r="B590" s="7" t="str">
        <f>HYPERLINK("https://twitter.com/danierdecai31","@danierdecai31")</f>
        <v>@danierdecai31</v>
      </c>
      <c r="C590" s="8" t="s">
        <v>28</v>
      </c>
      <c r="D590" s="9" t="s">
        <v>2122</v>
      </c>
      <c r="E590" s="10" t="str">
        <f>HYPERLINK("https://twitter.com/danierdecai31/status/1064331208237244418","1064331208237244418")</f>
        <v>1064331208237244418</v>
      </c>
      <c r="F590" s="11" t="s">
        <v>2123</v>
      </c>
      <c r="G590" s="12"/>
      <c r="H590" s="12"/>
      <c r="I590" s="13">
        <v>2</v>
      </c>
      <c r="J590" s="13">
        <v>8</v>
      </c>
      <c r="K590" s="14" t="str">
        <f t="shared" si="192"/>
        <v>Twitter Web Client</v>
      </c>
      <c r="L590" s="13">
        <v>9012</v>
      </c>
      <c r="M590" s="13">
        <v>3485</v>
      </c>
      <c r="N590" s="13">
        <v>14</v>
      </c>
      <c r="O590" s="15"/>
      <c r="P590" s="6">
        <v>43403.647685185184</v>
      </c>
      <c r="Q590" s="16" t="s">
        <v>32</v>
      </c>
      <c r="R590" s="17" t="s">
        <v>33</v>
      </c>
      <c r="S590" s="12"/>
      <c r="T590" s="12"/>
      <c r="U590" s="10" t="str">
        <f>HYPERLINK("https://pbs.twimg.com/profile_images/1057281830297182208/9mTqQWgW.jpg","View")</f>
        <v>View</v>
      </c>
    </row>
    <row r="591" spans="1:21" ht="40.799999999999997">
      <c r="A591" s="6">
        <v>43423.088749999995</v>
      </c>
      <c r="B591" s="7" t="str">
        <f>HYPERLINK("https://twitter.com/LfilodelabrechA","@LfilodelabrechA")</f>
        <v>@LfilodelabrechA</v>
      </c>
      <c r="C591" s="8" t="s">
        <v>2485</v>
      </c>
      <c r="D591" s="9" t="s">
        <v>2486</v>
      </c>
      <c r="E591" s="10" t="str">
        <f>HYPERLINK("https://twitter.com/LfilodelabrechA/status/1064324326147674112","1064324326147674112")</f>
        <v>1064324326147674112</v>
      </c>
      <c r="F591" s="12"/>
      <c r="G591" s="11" t="s">
        <v>2487</v>
      </c>
      <c r="H591" s="12"/>
      <c r="I591" s="13">
        <v>0</v>
      </c>
      <c r="J591" s="13">
        <v>2</v>
      </c>
      <c r="K591" s="14" t="str">
        <f t="shared" si="192"/>
        <v>Twitter Web Client</v>
      </c>
      <c r="L591" s="13">
        <v>21281</v>
      </c>
      <c r="M591" s="13">
        <v>16077</v>
      </c>
      <c r="N591" s="13">
        <v>155</v>
      </c>
      <c r="O591" s="15"/>
      <c r="P591" s="6">
        <v>41995.189953703702</v>
      </c>
      <c r="Q591" s="16" t="s">
        <v>2488</v>
      </c>
      <c r="R591" s="17" t="s">
        <v>2489</v>
      </c>
      <c r="S591" s="11" t="s">
        <v>2490</v>
      </c>
      <c r="T591" s="12"/>
      <c r="U591" s="10" t="str">
        <f>HYPERLINK("https://pbs.twimg.com/profile_images/1015231495512915968/1SaMhOsw.jpg","View")</f>
        <v>View</v>
      </c>
    </row>
    <row r="592" spans="1:21" ht="40.799999999999997">
      <c r="A592" s="6">
        <v>43423.085844907408</v>
      </c>
      <c r="B592" s="7" t="str">
        <f>HYPERLINK("https://twitter.com/Joseda307","@Joseda307")</f>
        <v>@Joseda307</v>
      </c>
      <c r="C592" s="8" t="s">
        <v>1629</v>
      </c>
      <c r="D592" s="9" t="s">
        <v>2124</v>
      </c>
      <c r="E592" s="10" t="str">
        <f>HYPERLINK("https://twitter.com/Joseda307/status/1064323274715234304","1064323274715234304")</f>
        <v>1064323274715234304</v>
      </c>
      <c r="F592" s="12"/>
      <c r="G592" s="11" t="s">
        <v>2125</v>
      </c>
      <c r="H592" s="12"/>
      <c r="I592" s="13">
        <v>0</v>
      </c>
      <c r="J592" s="13">
        <v>0</v>
      </c>
      <c r="K592" s="14" t="str">
        <f t="shared" si="192"/>
        <v>Twitter Web Client</v>
      </c>
      <c r="L592" s="13">
        <v>83</v>
      </c>
      <c r="M592" s="13">
        <v>148</v>
      </c>
      <c r="N592" s="13">
        <v>1</v>
      </c>
      <c r="O592" s="15"/>
      <c r="P592" s="6">
        <v>43340.930335648147</v>
      </c>
      <c r="Q592" s="16" t="s">
        <v>1718</v>
      </c>
      <c r="R592" s="17" t="s">
        <v>1719</v>
      </c>
      <c r="S592" s="12"/>
      <c r="T592" s="12"/>
      <c r="U592" s="10" t="str">
        <f>HYPERLINK("https://pbs.twimg.com/profile_images/1038561566117916675/iv52c4kC.jpg","View")</f>
        <v>View</v>
      </c>
    </row>
    <row r="593" spans="1:21" ht="91.8">
      <c r="A593" s="6">
        <v>43423.065682870365</v>
      </c>
      <c r="B593" s="7" t="str">
        <f>HYPERLINK("https://twitter.com/luis_bergil","@luis_bergil")</f>
        <v>@luis_bergil</v>
      </c>
      <c r="C593" s="8" t="s">
        <v>2127</v>
      </c>
      <c r="D593" s="9" t="s">
        <v>2128</v>
      </c>
      <c r="E593" s="10" t="str">
        <f>HYPERLINK("https://twitter.com/luis_bergil/status/1064315969282207744","1064315969282207744")</f>
        <v>1064315969282207744</v>
      </c>
      <c r="F593" s="11" t="s">
        <v>2129</v>
      </c>
      <c r="G593" s="11" t="s">
        <v>2130</v>
      </c>
      <c r="H593" s="12"/>
      <c r="I593" s="13">
        <v>0</v>
      </c>
      <c r="J593" s="13">
        <v>0</v>
      </c>
      <c r="K593" s="14" t="str">
        <f t="shared" si="192"/>
        <v>Twitter Web Client</v>
      </c>
      <c r="L593" s="13">
        <v>591</v>
      </c>
      <c r="M593" s="13">
        <v>567</v>
      </c>
      <c r="N593" s="13">
        <v>0</v>
      </c>
      <c r="O593" s="15"/>
      <c r="P593" s="6">
        <v>42527.452615740738</v>
      </c>
      <c r="Q593" s="16" t="s">
        <v>1810</v>
      </c>
      <c r="R593" s="21"/>
      <c r="S593" s="12"/>
      <c r="T593" s="12"/>
      <c r="U593" s="10" t="str">
        <f>HYPERLINK("https://pbs.twimg.com/profile_images/751088534673616902/iZJOfS-w.jpg","View")</f>
        <v>View</v>
      </c>
    </row>
    <row r="594" spans="1:21" ht="112.2">
      <c r="A594" s="6">
        <v>43423.064386574071</v>
      </c>
      <c r="B594" s="7" t="str">
        <f>HYPERLINK("https://twitter.com/AndresSanchezAg","@AndresSanchezAg")</f>
        <v>@AndresSanchezAg</v>
      </c>
      <c r="C594" s="8" t="s">
        <v>1694</v>
      </c>
      <c r="D594" s="9" t="s">
        <v>2131</v>
      </c>
      <c r="E594" s="10" t="str">
        <f>HYPERLINK("https://twitter.com/AndresSanchezAg/status/1064315496907137024","1064315496907137024")</f>
        <v>1064315496907137024</v>
      </c>
      <c r="F594" s="11" t="s">
        <v>2132</v>
      </c>
      <c r="G594" s="11" t="s">
        <v>2133</v>
      </c>
      <c r="H594" s="12"/>
      <c r="I594" s="13">
        <v>0</v>
      </c>
      <c r="J594" s="13">
        <v>0</v>
      </c>
      <c r="K594" s="14" t="str">
        <f>HYPERLINK("http://twitter.com/download/iphone","Twitter for iPhone")</f>
        <v>Twitter for iPhone</v>
      </c>
      <c r="L594" s="13">
        <v>32</v>
      </c>
      <c r="M594" s="13">
        <v>67</v>
      </c>
      <c r="N594" s="13">
        <v>1</v>
      </c>
      <c r="O594" s="15"/>
      <c r="P594" s="6">
        <v>43403.558472222227</v>
      </c>
      <c r="Q594" s="16" t="s">
        <v>929</v>
      </c>
      <c r="R594" s="17" t="s">
        <v>1697</v>
      </c>
      <c r="S594" s="12"/>
      <c r="T594" s="12"/>
      <c r="U594" s="10" t="str">
        <f>HYPERLINK("https://pbs.twimg.com/profile_images/1057331332215459840/i6zkUgrm.jpg","View")</f>
        <v>View</v>
      </c>
    </row>
    <row r="595" spans="1:21" ht="51">
      <c r="A595" s="6">
        <v>43423.05914351852</v>
      </c>
      <c r="B595" s="7" t="str">
        <f>HYPERLINK("https://twitter.com/beltransanchz","@beltransanchz")</f>
        <v>@beltransanchz</v>
      </c>
      <c r="C595" s="8" t="s">
        <v>2134</v>
      </c>
      <c r="D595" s="9" t="s">
        <v>2135</v>
      </c>
      <c r="E595" s="10" t="str">
        <f>HYPERLINK("https://twitter.com/beltransanchz/status/1064313596333699072","1064313596333699072")</f>
        <v>1064313596333699072</v>
      </c>
      <c r="F595" s="12"/>
      <c r="G595" s="12"/>
      <c r="H595" s="12"/>
      <c r="I595" s="13">
        <v>3</v>
      </c>
      <c r="J595" s="13">
        <v>11</v>
      </c>
      <c r="K595" s="14" t="str">
        <f t="shared" ref="K595:K598" si="193">HYPERLINK("http://twitter.com/download/android","Twitter for Android")</f>
        <v>Twitter for Android</v>
      </c>
      <c r="L595" s="13">
        <v>153</v>
      </c>
      <c r="M595" s="13">
        <v>394</v>
      </c>
      <c r="N595" s="13">
        <v>0</v>
      </c>
      <c r="O595" s="15"/>
      <c r="P595" s="6">
        <v>42371.985891203702</v>
      </c>
      <c r="Q595" s="12"/>
      <c r="R595" s="17" t="s">
        <v>2136</v>
      </c>
      <c r="S595" s="12"/>
      <c r="T595" s="12"/>
      <c r="U595" s="10" t="str">
        <f>HYPERLINK("https://pbs.twimg.com/profile_images/923620790444154880/FJOyFdvU.jpg","View")</f>
        <v>View</v>
      </c>
    </row>
    <row r="596" spans="1:21" ht="20.399999999999999">
      <c r="A596" s="6">
        <v>43423.049062499995</v>
      </c>
      <c r="B596" s="7" t="str">
        <f>HYPERLINK("https://twitter.com/MisterVixtor","@MisterVixtor")</f>
        <v>@MisterVixtor</v>
      </c>
      <c r="C596" s="8" t="s">
        <v>2137</v>
      </c>
      <c r="D596" s="9" t="s">
        <v>2138</v>
      </c>
      <c r="E596" s="10" t="str">
        <f>HYPERLINK("https://twitter.com/MisterVixtor/status/1064309946039320576","1064309946039320576")</f>
        <v>1064309946039320576</v>
      </c>
      <c r="F596" s="12"/>
      <c r="G596" s="12"/>
      <c r="H596" s="12"/>
      <c r="I596" s="13">
        <v>0</v>
      </c>
      <c r="J596" s="13">
        <v>1</v>
      </c>
      <c r="K596" s="14" t="str">
        <f t="shared" si="193"/>
        <v>Twitter for Android</v>
      </c>
      <c r="L596" s="13">
        <v>32</v>
      </c>
      <c r="M596" s="13">
        <v>129</v>
      </c>
      <c r="N596" s="13">
        <v>0</v>
      </c>
      <c r="O596" s="15"/>
      <c r="P596" s="6">
        <v>43278.84375</v>
      </c>
      <c r="Q596" s="16" t="s">
        <v>2139</v>
      </c>
      <c r="R596" s="17" t="s">
        <v>2140</v>
      </c>
      <c r="S596" s="12"/>
      <c r="T596" s="12"/>
      <c r="U596" s="10" t="str">
        <f>HYPERLINK("https://pbs.twimg.com/profile_images/1054498202651627521/5__XBW1F.jpg","View")</f>
        <v>View</v>
      </c>
    </row>
    <row r="597" spans="1:21" ht="30.6">
      <c r="A597" s="6">
        <v>43423.04824074074</v>
      </c>
      <c r="B597" s="7" t="str">
        <f>HYPERLINK("https://twitter.com/_juancar7","@_juancar7")</f>
        <v>@_juancar7</v>
      </c>
      <c r="C597" s="8" t="s">
        <v>389</v>
      </c>
      <c r="D597" s="9" t="s">
        <v>2141</v>
      </c>
      <c r="E597" s="10" t="str">
        <f>HYPERLINK("https://twitter.com/_juancar7/status/1064309647048392704","1064309647048392704")</f>
        <v>1064309647048392704</v>
      </c>
      <c r="F597" s="12"/>
      <c r="G597" s="11" t="s">
        <v>2142</v>
      </c>
      <c r="H597" s="12"/>
      <c r="I597" s="13">
        <v>0</v>
      </c>
      <c r="J597" s="13">
        <v>1</v>
      </c>
      <c r="K597" s="14" t="str">
        <f t="shared" si="193"/>
        <v>Twitter for Android</v>
      </c>
      <c r="L597" s="13">
        <v>292</v>
      </c>
      <c r="M597" s="13">
        <v>464</v>
      </c>
      <c r="N597" s="13">
        <v>5</v>
      </c>
      <c r="O597" s="15"/>
      <c r="P597" s="6">
        <v>42228.482303240744</v>
      </c>
      <c r="Q597" s="16" t="s">
        <v>392</v>
      </c>
      <c r="R597" s="17" t="s">
        <v>393</v>
      </c>
      <c r="S597" s="11" t="s">
        <v>394</v>
      </c>
      <c r="T597" s="12"/>
      <c r="U597" s="10" t="str">
        <f>HYPERLINK("https://pbs.twimg.com/profile_images/1065025407110578177/aYrjSIxs.jpg","View")</f>
        <v>View</v>
      </c>
    </row>
    <row r="598" spans="1:21" ht="20.399999999999999">
      <c r="A598" s="6">
        <v>43423.035995370374</v>
      </c>
      <c r="B598" s="7" t="str">
        <f>HYPERLINK("https://twitter.com/Santi_ABASCAL","@Santi_ABASCAL")</f>
        <v>@Santi_ABASCAL</v>
      </c>
      <c r="C598" s="8" t="s">
        <v>182</v>
      </c>
      <c r="D598" s="9" t="s">
        <v>2517</v>
      </c>
      <c r="E598" s="10" t="str">
        <f>HYPERLINK("https://twitter.com/Santi_ABASCAL/status/1064305209294405633","1064305209294405633")</f>
        <v>1064305209294405633</v>
      </c>
      <c r="F598" s="12"/>
      <c r="G598" s="11" t="s">
        <v>2520</v>
      </c>
      <c r="H598" s="12"/>
      <c r="I598" s="13">
        <v>234</v>
      </c>
      <c r="J598" s="13">
        <v>467</v>
      </c>
      <c r="K598" s="14" t="str">
        <f t="shared" si="193"/>
        <v>Twitter for Android</v>
      </c>
      <c r="L598" s="13">
        <v>117602</v>
      </c>
      <c r="M598" s="13">
        <v>3896</v>
      </c>
      <c r="N598" s="13">
        <v>915</v>
      </c>
      <c r="O598" s="23" t="s">
        <v>186</v>
      </c>
      <c r="P598" s="6">
        <v>40606.716446759259</v>
      </c>
      <c r="Q598" s="16" t="s">
        <v>188</v>
      </c>
      <c r="R598" s="17" t="s">
        <v>189</v>
      </c>
      <c r="S598" s="11" t="s">
        <v>190</v>
      </c>
      <c r="T598" s="12"/>
      <c r="U598" s="10" t="str">
        <f>HYPERLINK("https://pbs.twimg.com/profile_images/1010488787686879232/2CnqYKlD.jpg","View")</f>
        <v>View</v>
      </c>
    </row>
    <row r="599" spans="1:21" ht="112.2">
      <c r="A599" s="6">
        <v>43423.019652777773</v>
      </c>
      <c r="B599" s="7" t="str">
        <f>HYPERLINK("https://twitter.com/BancajaEstafa","@BancajaEstafa")</f>
        <v>@BancajaEstafa</v>
      </c>
      <c r="C599" s="8" t="s">
        <v>2143</v>
      </c>
      <c r="D599" s="9" t="s">
        <v>2144</v>
      </c>
      <c r="E599" s="10" t="str">
        <f>HYPERLINK("https://twitter.com/BancajaEstafa/status/1064299288019329024","1064299288019329024")</f>
        <v>1064299288019329024</v>
      </c>
      <c r="F599" s="11" t="s">
        <v>2145</v>
      </c>
      <c r="G599" s="11" t="s">
        <v>2146</v>
      </c>
      <c r="H599" s="12"/>
      <c r="I599" s="13">
        <v>0</v>
      </c>
      <c r="J599" s="13">
        <v>1</v>
      </c>
      <c r="K599" s="14" t="str">
        <f>HYPERLINK("http://twitter.com","Twitter Web Client")</f>
        <v>Twitter Web Client</v>
      </c>
      <c r="L599" s="13">
        <v>1198</v>
      </c>
      <c r="M599" s="13">
        <v>5003</v>
      </c>
      <c r="N599" s="13">
        <v>28</v>
      </c>
      <c r="O599" s="15"/>
      <c r="P599" s="6">
        <v>42189.936469907407</v>
      </c>
      <c r="Q599" s="16" t="s">
        <v>2147</v>
      </c>
      <c r="R599" s="17" t="s">
        <v>2148</v>
      </c>
      <c r="S599" s="12"/>
      <c r="T599" s="12"/>
      <c r="U599" s="10" t="str">
        <f>HYPERLINK("https://pbs.twimg.com/profile_images/623951932156215296/vJAxlHSS.jpg","View")</f>
        <v>View</v>
      </c>
    </row>
    <row r="600" spans="1:21" ht="30.6">
      <c r="A600" s="6">
        <v>43423.012824074074</v>
      </c>
      <c r="B600" s="7" t="str">
        <f>HYPERLINK("https://twitter.com/RubenMah","@RubenMah")</f>
        <v>@RubenMah</v>
      </c>
      <c r="C600" s="8" t="s">
        <v>2149</v>
      </c>
      <c r="D600" s="9" t="s">
        <v>2150</v>
      </c>
      <c r="E600" s="10" t="str">
        <f>HYPERLINK("https://twitter.com/RubenMah/status/1064296812713033729","1064296812713033729")</f>
        <v>1064296812713033729</v>
      </c>
      <c r="F600" s="12"/>
      <c r="G600" s="12"/>
      <c r="H600" s="12"/>
      <c r="I600" s="13">
        <v>0</v>
      </c>
      <c r="J600" s="13">
        <v>0</v>
      </c>
      <c r="K600" s="14" t="str">
        <f>HYPERLINK("http://twitter.com/download/android","Twitter for Android")</f>
        <v>Twitter for Android</v>
      </c>
      <c r="L600" s="13">
        <v>189</v>
      </c>
      <c r="M600" s="13">
        <v>303</v>
      </c>
      <c r="N600" s="13">
        <v>10</v>
      </c>
      <c r="O600" s="15"/>
      <c r="P600" s="6">
        <v>41130.102118055554</v>
      </c>
      <c r="Q600" s="16" t="s">
        <v>2151</v>
      </c>
      <c r="R600" s="17" t="s">
        <v>2152</v>
      </c>
      <c r="S600" s="12"/>
      <c r="T600" s="12"/>
      <c r="U600" s="10" t="str">
        <f>HYPERLINK("https://pbs.twimg.com/profile_images/820261544491708416/OjnPDs6p.jpg","View")</f>
        <v>View</v>
      </c>
    </row>
    <row r="601" spans="1:21" ht="20.399999999999999">
      <c r="A601" s="6">
        <v>43423.008564814816</v>
      </c>
      <c r="B601" s="7" t="str">
        <f>HYPERLINK("https://twitter.com/Madriidismou","@Madriidismou")</f>
        <v>@Madriidismou</v>
      </c>
      <c r="C601" s="8" t="s">
        <v>2153</v>
      </c>
      <c r="D601" s="9" t="s">
        <v>2154</v>
      </c>
      <c r="E601" s="10" t="str">
        <f>HYPERLINK("https://twitter.com/Madriidismou/status/1064295267799891974","1064295267799891974")</f>
        <v>1064295267799891974</v>
      </c>
      <c r="F601" s="11" t="s">
        <v>2155</v>
      </c>
      <c r="G601" s="11" t="s">
        <v>2156</v>
      </c>
      <c r="H601" s="12"/>
      <c r="I601" s="13">
        <v>0</v>
      </c>
      <c r="J601" s="13">
        <v>0</v>
      </c>
      <c r="K601" s="14" t="str">
        <f t="shared" ref="K601:K603" si="194">HYPERLINK("http://twitter.com/download/iphone","Twitter for iPhone")</f>
        <v>Twitter for iPhone</v>
      </c>
      <c r="L601" s="13">
        <v>87</v>
      </c>
      <c r="M601" s="13">
        <v>281</v>
      </c>
      <c r="N601" s="13">
        <v>0</v>
      </c>
      <c r="O601" s="15"/>
      <c r="P601" s="6">
        <v>42822.995335648149</v>
      </c>
      <c r="Q601" s="16" t="s">
        <v>66</v>
      </c>
      <c r="R601" s="17" t="s">
        <v>2157</v>
      </c>
      <c r="S601" s="12"/>
      <c r="T601" s="12"/>
      <c r="U601" s="10" t="str">
        <f>HYPERLINK("https://pbs.twimg.com/profile_images/1030418971235889153/vpx3ZIQx.jpg","View")</f>
        <v>View</v>
      </c>
    </row>
    <row r="602" spans="1:21" ht="13.2">
      <c r="A602" s="6">
        <v>43422.996898148151</v>
      </c>
      <c r="B602" s="7" t="str">
        <f>HYPERLINK("https://twitter.com/dnk_FTW","@dnk_FTW")</f>
        <v>@dnk_FTW</v>
      </c>
      <c r="C602" s="8" t="s">
        <v>2533</v>
      </c>
      <c r="D602" s="9" t="s">
        <v>2534</v>
      </c>
      <c r="E602" s="10" t="str">
        <f>HYPERLINK("https://twitter.com/dnk_FTW/status/1064291043053633537","1064291043053633537")</f>
        <v>1064291043053633537</v>
      </c>
      <c r="F602" s="12"/>
      <c r="G602" s="12"/>
      <c r="H602" s="12"/>
      <c r="I602" s="13">
        <v>0</v>
      </c>
      <c r="J602" s="13">
        <v>8</v>
      </c>
      <c r="K602" s="14" t="str">
        <f t="shared" si="194"/>
        <v>Twitter for iPhone</v>
      </c>
      <c r="L602" s="13">
        <v>304</v>
      </c>
      <c r="M602" s="13">
        <v>391</v>
      </c>
      <c r="N602" s="13">
        <v>13</v>
      </c>
      <c r="O602" s="15"/>
      <c r="P602" s="6">
        <v>41079.96607638889</v>
      </c>
      <c r="Q602" s="16" t="s">
        <v>2537</v>
      </c>
      <c r="R602" s="17" t="s">
        <v>2538</v>
      </c>
      <c r="S602" s="11" t="s">
        <v>2539</v>
      </c>
      <c r="T602" s="12"/>
      <c r="U602" s="10" t="str">
        <f>HYPERLINK("https://pbs.twimg.com/profile_images/1063515188559863810/yOkucB2W.jpg","View")</f>
        <v>View</v>
      </c>
    </row>
    <row r="603" spans="1:21" ht="51">
      <c r="A603" s="6">
        <v>43422.996782407412</v>
      </c>
      <c r="B603" s="7" t="str">
        <f>HYPERLINK("https://twitter.com/CorreoDeMadrid","@CorreoDeMadrid")</f>
        <v>@CorreoDeMadrid</v>
      </c>
      <c r="C603" s="8" t="s">
        <v>2158</v>
      </c>
      <c r="D603" s="9" t="s">
        <v>2159</v>
      </c>
      <c r="E603" s="10" t="str">
        <f>HYPERLINK("https://twitter.com/CorreoDeMadrid/status/1064290999193743360","1064290999193743360")</f>
        <v>1064290999193743360</v>
      </c>
      <c r="F603" s="11" t="s">
        <v>2160</v>
      </c>
      <c r="G603" s="12"/>
      <c r="H603" s="12"/>
      <c r="I603" s="13">
        <v>25</v>
      </c>
      <c r="J603" s="13">
        <v>50</v>
      </c>
      <c r="K603" s="14" t="str">
        <f t="shared" si="194"/>
        <v>Twitter for iPhone</v>
      </c>
      <c r="L603" s="13">
        <v>4179</v>
      </c>
      <c r="M603" s="13">
        <v>831</v>
      </c>
      <c r="N603" s="13">
        <v>108</v>
      </c>
      <c r="O603" s="15"/>
      <c r="P603" s="6">
        <v>41352.918842592597</v>
      </c>
      <c r="Q603" s="16" t="s">
        <v>104</v>
      </c>
      <c r="R603" s="17" t="s">
        <v>2161</v>
      </c>
      <c r="S603" s="11" t="s">
        <v>549</v>
      </c>
      <c r="T603" s="12"/>
      <c r="U603" s="10" t="str">
        <f>HYPERLINK("https://pbs.twimg.com/profile_images/1001503392605274112/SreMCx1u.jpg","View")</f>
        <v>View</v>
      </c>
    </row>
    <row r="604" spans="1:21" ht="61.2">
      <c r="A604" s="6">
        <v>43422.995856481481</v>
      </c>
      <c r="B604" s="7" t="str">
        <f t="shared" ref="B604:B605" si="195">HYPERLINK("https://twitter.com/TSondeos","@TSondeos")</f>
        <v>@TSondeos</v>
      </c>
      <c r="C604" s="8" t="s">
        <v>2162</v>
      </c>
      <c r="D604" s="9" t="s">
        <v>2163</v>
      </c>
      <c r="E604" s="10" t="str">
        <f>HYPERLINK("https://twitter.com/TSondeos/status/1064290662504374273","1064290662504374273")</f>
        <v>1064290662504374273</v>
      </c>
      <c r="F604" s="12"/>
      <c r="G604" s="11" t="s">
        <v>2164</v>
      </c>
      <c r="H604" s="12"/>
      <c r="I604" s="13">
        <v>4</v>
      </c>
      <c r="J604" s="13">
        <v>2</v>
      </c>
      <c r="K604" s="14" t="str">
        <f t="shared" ref="K604:K605" si="196">HYPERLINK("http://twitter.com","Twitter Web Client")</f>
        <v>Twitter Web Client</v>
      </c>
      <c r="L604" s="13">
        <v>22</v>
      </c>
      <c r="M604" s="13">
        <v>120</v>
      </c>
      <c r="N604" s="13">
        <v>0</v>
      </c>
      <c r="O604" s="15"/>
      <c r="P604" s="6">
        <v>43416.788564814815</v>
      </c>
      <c r="Q604" s="16" t="s">
        <v>2165</v>
      </c>
      <c r="R604" s="17" t="s">
        <v>2166</v>
      </c>
      <c r="S604" s="11" t="s">
        <v>2167</v>
      </c>
      <c r="T604" s="12"/>
      <c r="U604" s="10" t="str">
        <f t="shared" ref="U604:U605" si="197">HYPERLINK("https://pbs.twimg.com/profile_images/1062041702930751488/65soSsi6.jpg","View")</f>
        <v>View</v>
      </c>
    </row>
    <row r="605" spans="1:21" ht="61.2">
      <c r="A605" s="6">
        <v>43422.97865740741</v>
      </c>
      <c r="B605" s="7" t="str">
        <f t="shared" si="195"/>
        <v>@TSondeos</v>
      </c>
      <c r="C605" s="8" t="s">
        <v>2162</v>
      </c>
      <c r="D605" s="9" t="s">
        <v>2168</v>
      </c>
      <c r="E605" s="10" t="str">
        <f>HYPERLINK("https://twitter.com/TSondeos/status/1064284431240871943","1064284431240871943")</f>
        <v>1064284431240871943</v>
      </c>
      <c r="F605" s="12"/>
      <c r="G605" s="11" t="s">
        <v>2169</v>
      </c>
      <c r="H605" s="12"/>
      <c r="I605" s="13">
        <v>4</v>
      </c>
      <c r="J605" s="13">
        <v>4</v>
      </c>
      <c r="K605" s="14" t="str">
        <f t="shared" si="196"/>
        <v>Twitter Web Client</v>
      </c>
      <c r="L605" s="13">
        <v>22</v>
      </c>
      <c r="M605" s="13">
        <v>120</v>
      </c>
      <c r="N605" s="13">
        <v>0</v>
      </c>
      <c r="O605" s="15"/>
      <c r="P605" s="6">
        <v>43416.788564814815</v>
      </c>
      <c r="Q605" s="16" t="s">
        <v>2165</v>
      </c>
      <c r="R605" s="17" t="s">
        <v>2166</v>
      </c>
      <c r="S605" s="11" t="s">
        <v>2167</v>
      </c>
      <c r="T605" s="12"/>
      <c r="U605" s="10" t="str">
        <f t="shared" si="197"/>
        <v>View</v>
      </c>
    </row>
    <row r="606" spans="1:21" ht="20.399999999999999">
      <c r="A606" s="6">
        <v>43422.978414351848</v>
      </c>
      <c r="B606" s="7" t="str">
        <f>HYPERLINK("https://twitter.com/FumateLaActual1","@FumateLaActual1")</f>
        <v>@FumateLaActual1</v>
      </c>
      <c r="C606" s="8" t="s">
        <v>2170</v>
      </c>
      <c r="D606" s="9" t="s">
        <v>2171</v>
      </c>
      <c r="E606" s="10" t="str">
        <f>HYPERLINK("https://twitter.com/FumateLaActual1/status/1064284344003510273","1064284344003510273")</f>
        <v>1064284344003510273</v>
      </c>
      <c r="F606" s="12"/>
      <c r="G606" s="11" t="s">
        <v>2172</v>
      </c>
      <c r="H606" s="12"/>
      <c r="I606" s="13">
        <v>0</v>
      </c>
      <c r="J606" s="13">
        <v>0</v>
      </c>
      <c r="K606" s="14" t="str">
        <f t="shared" ref="K606:K607" si="198">HYPERLINK("http://twitter.com/download/android","Twitter for Android")</f>
        <v>Twitter for Android</v>
      </c>
      <c r="L606" s="13">
        <v>1</v>
      </c>
      <c r="M606" s="13">
        <v>5</v>
      </c>
      <c r="N606" s="13">
        <v>0</v>
      </c>
      <c r="O606" s="15"/>
      <c r="P606" s="6">
        <v>43381.920937499999</v>
      </c>
      <c r="Q606" s="12"/>
      <c r="R606" s="17" t="s">
        <v>2173</v>
      </c>
      <c r="S606" s="12"/>
      <c r="T606" s="12"/>
      <c r="U606" s="10" t="str">
        <f>HYPERLINK("https://pbs.twimg.com/profile_images/1049391911671386113/arKRr1sQ.jpg","View")</f>
        <v>View</v>
      </c>
    </row>
    <row r="607" spans="1:21" ht="61.2">
      <c r="A607" s="6">
        <v>43422.965057870373</v>
      </c>
      <c r="B607" s="7" t="str">
        <f>HYPERLINK("https://twitter.com/PedroFenol","@PedroFenol")</f>
        <v>@PedroFenol</v>
      </c>
      <c r="C607" s="8" t="s">
        <v>2174</v>
      </c>
      <c r="D607" s="9" t="s">
        <v>2175</v>
      </c>
      <c r="E607" s="10" t="str">
        <f>HYPERLINK("https://twitter.com/PedroFenol/status/1064279500932960256","1064279500932960256")</f>
        <v>1064279500932960256</v>
      </c>
      <c r="F607" s="16" t="s">
        <v>2176</v>
      </c>
      <c r="G607" s="12"/>
      <c r="H607" s="12"/>
      <c r="I607" s="13">
        <v>1</v>
      </c>
      <c r="J607" s="13">
        <v>3</v>
      </c>
      <c r="K607" s="14" t="str">
        <f t="shared" si="198"/>
        <v>Twitter for Android</v>
      </c>
      <c r="L607" s="13">
        <v>113</v>
      </c>
      <c r="M607" s="13">
        <v>93</v>
      </c>
      <c r="N607" s="13">
        <v>3</v>
      </c>
      <c r="O607" s="15"/>
      <c r="P607" s="6">
        <v>40929.727777777778</v>
      </c>
      <c r="Q607" s="16" t="s">
        <v>2177</v>
      </c>
      <c r="R607" s="17" t="s">
        <v>2178</v>
      </c>
      <c r="S607" s="12"/>
      <c r="T607" s="12"/>
      <c r="U607" s="10" t="str">
        <f>HYPERLINK("https://pbs.twimg.com/profile_images/606947340981833728/9p9zAehD.jpg","View")</f>
        <v>View</v>
      </c>
    </row>
    <row r="608" spans="1:21" ht="102">
      <c r="A608" s="6">
        <v>43422.958032407405</v>
      </c>
      <c r="B608" s="7" t="str">
        <f>HYPERLINK("https://twitter.com/LAVOZCOHERENTE","@LAVOZCOHERENTE")</f>
        <v>@LAVOZCOHERENTE</v>
      </c>
      <c r="C608" s="8" t="s">
        <v>2179</v>
      </c>
      <c r="D608" s="9" t="s">
        <v>2180</v>
      </c>
      <c r="E608" s="10" t="str">
        <f>HYPERLINK("https://twitter.com/LAVOZCOHERENTE/status/1064276954931781632","1064276954931781632")</f>
        <v>1064276954931781632</v>
      </c>
      <c r="F608" s="11" t="s">
        <v>2181</v>
      </c>
      <c r="G608" s="11" t="s">
        <v>2182</v>
      </c>
      <c r="H608" s="12"/>
      <c r="I608" s="13">
        <v>1</v>
      </c>
      <c r="J608" s="13">
        <v>1</v>
      </c>
      <c r="K608" s="14" t="str">
        <f>HYPERLINK("http://twitter.com","Twitter Web Client")</f>
        <v>Twitter Web Client</v>
      </c>
      <c r="L608" s="13">
        <v>1280</v>
      </c>
      <c r="M608" s="13">
        <v>3554</v>
      </c>
      <c r="N608" s="13">
        <v>17</v>
      </c>
      <c r="O608" s="15"/>
      <c r="P608" s="6">
        <v>42016.466620370367</v>
      </c>
      <c r="Q608" s="12"/>
      <c r="R608" s="17" t="s">
        <v>2183</v>
      </c>
      <c r="S608" s="12"/>
      <c r="T608" s="12"/>
      <c r="U608" s="10" t="str">
        <f>HYPERLINK("https://pbs.twimg.com/profile_images/1061563719417765889/-kskkMCm.jpg","View")</f>
        <v>View</v>
      </c>
    </row>
    <row r="609" spans="1:21" ht="51">
      <c r="A609" s="6">
        <v>43422.952592592592</v>
      </c>
      <c r="B609" s="7" t="str">
        <f>HYPERLINK("https://twitter.com/Santi_ABASCAL","@Santi_ABASCAL")</f>
        <v>@Santi_ABASCAL</v>
      </c>
      <c r="C609" s="8" t="s">
        <v>182</v>
      </c>
      <c r="D609" s="9" t="s">
        <v>2568</v>
      </c>
      <c r="E609" s="10" t="str">
        <f>HYPERLINK("https://twitter.com/Santi_ABASCAL/status/1064274984414126080","1064274984414126080")</f>
        <v>1064274984414126080</v>
      </c>
      <c r="F609" s="12"/>
      <c r="G609" s="11" t="s">
        <v>1929</v>
      </c>
      <c r="H609" s="12"/>
      <c r="I609" s="13">
        <v>1061</v>
      </c>
      <c r="J609" s="13">
        <v>2150</v>
      </c>
      <c r="K609" s="14" t="str">
        <f>HYPERLINK("http://twitter.com/download/android","Twitter for Android")</f>
        <v>Twitter for Android</v>
      </c>
      <c r="L609" s="13">
        <v>117602</v>
      </c>
      <c r="M609" s="13">
        <v>3896</v>
      </c>
      <c r="N609" s="13">
        <v>915</v>
      </c>
      <c r="O609" s="23" t="s">
        <v>186</v>
      </c>
      <c r="P609" s="6">
        <v>40606.716446759259</v>
      </c>
      <c r="Q609" s="16" t="s">
        <v>188</v>
      </c>
      <c r="R609" s="17" t="s">
        <v>189</v>
      </c>
      <c r="S609" s="11" t="s">
        <v>190</v>
      </c>
      <c r="T609" s="12"/>
      <c r="U609" s="10" t="str">
        <f>HYPERLINK("https://pbs.twimg.com/profile_images/1010488787686879232/2CnqYKlD.jpg","View")</f>
        <v>View</v>
      </c>
    </row>
    <row r="610" spans="1:21" ht="20.399999999999999">
      <c r="A610" s="6">
        <v>43422.950462962966</v>
      </c>
      <c r="B610" s="7" t="str">
        <f>HYPERLINK("https://twitter.com/NoticiasPolmic1","@NoticiasPolmic1")</f>
        <v>@NoticiasPolmic1</v>
      </c>
      <c r="C610" s="8" t="s">
        <v>2572</v>
      </c>
      <c r="D610" s="9" t="s">
        <v>2573</v>
      </c>
      <c r="E610" s="10" t="str">
        <f>HYPERLINK("https://twitter.com/NoticiasPolmic1/status/1064274214008561666","1064274214008561666")</f>
        <v>1064274214008561666</v>
      </c>
      <c r="F610" s="11" t="s">
        <v>2574</v>
      </c>
      <c r="G610" s="12"/>
      <c r="H610" s="12"/>
      <c r="I610" s="13">
        <v>0</v>
      </c>
      <c r="J610" s="13">
        <v>0</v>
      </c>
      <c r="K610" s="14" t="str">
        <f>HYPERLINK("https://www.google.com/","Google")</f>
        <v>Google</v>
      </c>
      <c r="L610" s="13">
        <v>3</v>
      </c>
      <c r="M610" s="13">
        <v>127</v>
      </c>
      <c r="N610" s="13">
        <v>0</v>
      </c>
      <c r="O610" s="15"/>
      <c r="P610" s="6">
        <v>43190.007245370369</v>
      </c>
      <c r="Q610" s="12"/>
      <c r="R610" s="21"/>
      <c r="S610" s="12"/>
      <c r="T610" s="12"/>
      <c r="U610" s="23" t="s">
        <v>307</v>
      </c>
    </row>
    <row r="611" spans="1:21" ht="40.799999999999997">
      <c r="A611" s="6">
        <v>43422.949108796296</v>
      </c>
      <c r="B611" s="7" t="str">
        <f>HYPERLINK("https://twitter.com/BernalDCastillo","@BernalDCastillo")</f>
        <v>@BernalDCastillo</v>
      </c>
      <c r="C611" s="8" t="s">
        <v>160</v>
      </c>
      <c r="D611" s="9" t="s">
        <v>2184</v>
      </c>
      <c r="E611" s="10" t="str">
        <f>HYPERLINK("https://twitter.com/BernalDCastillo/status/1064273722977206272","1064273722977206272")</f>
        <v>1064273722977206272</v>
      </c>
      <c r="F611" s="11" t="s">
        <v>2185</v>
      </c>
      <c r="G611" s="11" t="s">
        <v>2186</v>
      </c>
      <c r="H611" s="12"/>
      <c r="I611" s="13">
        <v>0</v>
      </c>
      <c r="J611" s="13">
        <v>0</v>
      </c>
      <c r="K611" s="14" t="str">
        <f>HYPERLINK("https://mobile.twitter.com","Twitter Lite")</f>
        <v>Twitter Lite</v>
      </c>
      <c r="L611" s="13">
        <v>442</v>
      </c>
      <c r="M611" s="13">
        <v>329</v>
      </c>
      <c r="N611" s="13">
        <v>0</v>
      </c>
      <c r="O611" s="15"/>
      <c r="P611" s="6">
        <v>43155.978009259255</v>
      </c>
      <c r="Q611" s="12"/>
      <c r="R611" s="17" t="s">
        <v>163</v>
      </c>
      <c r="S611" s="11" t="s">
        <v>164</v>
      </c>
      <c r="T611" s="12"/>
      <c r="U611" s="10" t="str">
        <f>HYPERLINK("https://pbs.twimg.com/profile_images/1000822108019216385/Cw2qnTdc.jpg","View")</f>
        <v>View</v>
      </c>
    </row>
    <row r="612" spans="1:21" ht="51">
      <c r="A612" s="6">
        <v>43422.947824074072</v>
      </c>
      <c r="B612" s="7" t="str">
        <f>HYPERLINK("https://twitter.com/CatalatinoCat","@CatalatinoCat")</f>
        <v>@CatalatinoCat</v>
      </c>
      <c r="C612" s="8" t="s">
        <v>2189</v>
      </c>
      <c r="D612" s="9" t="s">
        <v>2190</v>
      </c>
      <c r="E612" s="10" t="str">
        <f>HYPERLINK("https://twitter.com/CatalatinoCat/status/1064273258747518977","1064273258747518977")</f>
        <v>1064273258747518977</v>
      </c>
      <c r="F612" s="11" t="s">
        <v>2192</v>
      </c>
      <c r="G612" s="11" t="s">
        <v>2193</v>
      </c>
      <c r="H612" s="12"/>
      <c r="I612" s="13">
        <v>0</v>
      </c>
      <c r="J612" s="13">
        <v>1</v>
      </c>
      <c r="K612" s="14" t="str">
        <f>HYPERLINK("http://twitter.com/download/iphone","Twitter for iPhone")</f>
        <v>Twitter for iPhone</v>
      </c>
      <c r="L612" s="13">
        <v>80</v>
      </c>
      <c r="M612" s="13">
        <v>193</v>
      </c>
      <c r="N612" s="13">
        <v>1</v>
      </c>
      <c r="O612" s="15"/>
      <c r="P612" s="6">
        <v>43024.822916666672</v>
      </c>
      <c r="Q612" s="16" t="s">
        <v>2195</v>
      </c>
      <c r="R612" s="17" t="s">
        <v>2196</v>
      </c>
      <c r="S612" s="12"/>
      <c r="T612" s="12"/>
      <c r="U612" s="10" t="str">
        <f>HYPERLINK("https://pbs.twimg.com/profile_images/958645617286369281/ZD1nseee.jpg","View")</f>
        <v>View</v>
      </c>
    </row>
    <row r="613" spans="1:21" ht="20.399999999999999">
      <c r="A613" s="6">
        <v>43422.947696759264</v>
      </c>
      <c r="B613" s="7" t="str">
        <f>HYPERLINK("https://twitter.com/NoticiasPolmic1","@NoticiasPolmic1")</f>
        <v>@NoticiasPolmic1</v>
      </c>
      <c r="C613" s="8" t="s">
        <v>2572</v>
      </c>
      <c r="D613" s="9" t="s">
        <v>2588</v>
      </c>
      <c r="E613" s="10" t="str">
        <f>HYPERLINK("https://twitter.com/NoticiasPolmic1/status/1064273211511181315","1064273211511181315")</f>
        <v>1064273211511181315</v>
      </c>
      <c r="F613" s="11" t="s">
        <v>2589</v>
      </c>
      <c r="G613" s="12"/>
      <c r="H613" s="12"/>
      <c r="I613" s="13">
        <v>0</v>
      </c>
      <c r="J613" s="13">
        <v>0</v>
      </c>
      <c r="K613" s="14" t="str">
        <f>HYPERLINK("https://www.google.com/","Google")</f>
        <v>Google</v>
      </c>
      <c r="L613" s="13">
        <v>3</v>
      </c>
      <c r="M613" s="13">
        <v>127</v>
      </c>
      <c r="N613" s="13">
        <v>0</v>
      </c>
      <c r="O613" s="15"/>
      <c r="P613" s="6">
        <v>43190.007245370369</v>
      </c>
      <c r="Q613" s="12"/>
      <c r="R613" s="21"/>
      <c r="S613" s="12"/>
      <c r="T613" s="12"/>
      <c r="U613" s="23" t="s">
        <v>307</v>
      </c>
    </row>
    <row r="614" spans="1:21" ht="51">
      <c r="A614" s="6">
        <v>43422.947534722218</v>
      </c>
      <c r="B614" s="7" t="str">
        <f>HYPERLINK("https://twitter.com/vox_es","@vox_es")</f>
        <v>@vox_es</v>
      </c>
      <c r="C614" s="8" t="s">
        <v>689</v>
      </c>
      <c r="D614" s="9" t="s">
        <v>1716</v>
      </c>
      <c r="E614" s="10" t="str">
        <f>HYPERLINK("https://twitter.com/vox_es/status/1064273150899294209","1064273150899294209")</f>
        <v>1064273150899294209</v>
      </c>
      <c r="F614" s="12"/>
      <c r="G614" s="11" t="s">
        <v>1682</v>
      </c>
      <c r="H614" s="12"/>
      <c r="I614" s="13">
        <v>153</v>
      </c>
      <c r="J614" s="13">
        <v>260</v>
      </c>
      <c r="K614" s="14" t="str">
        <f>HYPERLINK("http://twitter.com","Twitter Web Client")</f>
        <v>Twitter Web Client</v>
      </c>
      <c r="L614" s="13">
        <v>122548</v>
      </c>
      <c r="M614" s="13">
        <v>915</v>
      </c>
      <c r="N614" s="13">
        <v>919</v>
      </c>
      <c r="O614" s="23" t="s">
        <v>186</v>
      </c>
      <c r="P614" s="6">
        <v>41596.746655092589</v>
      </c>
      <c r="Q614" s="12"/>
      <c r="R614" s="17" t="s">
        <v>694</v>
      </c>
      <c r="S614" s="11" t="s">
        <v>187</v>
      </c>
      <c r="T614" s="12"/>
      <c r="U614" s="10" t="str">
        <f>HYPERLINK("https://pbs.twimg.com/profile_images/1016653788617363456/m3b3jqW5.jpg","View")</f>
        <v>View</v>
      </c>
    </row>
    <row r="615" spans="1:21" ht="51">
      <c r="A615" s="6">
        <v>43422.939155092594</v>
      </c>
      <c r="B615" s="7" t="str">
        <f t="shared" ref="B615:B616" si="199">HYPERLINK("https://twitter.com/bitMomentum","@bitMomentum")</f>
        <v>@bitMomentum</v>
      </c>
      <c r="C615" s="8" t="s">
        <v>368</v>
      </c>
      <c r="D615" s="9" t="s">
        <v>2197</v>
      </c>
      <c r="E615" s="10" t="str">
        <f>HYPERLINK("https://twitter.com/bitMomentum/status/1064270115150155777","1064270115150155777")</f>
        <v>1064270115150155777</v>
      </c>
      <c r="F615" s="12"/>
      <c r="G615" s="11" t="s">
        <v>2198</v>
      </c>
      <c r="H615" s="12"/>
      <c r="I615" s="13">
        <v>0</v>
      </c>
      <c r="J615" s="13">
        <v>0</v>
      </c>
      <c r="K615" s="14" t="str">
        <f t="shared" ref="K615:K616" si="200">HYPERLINK("http://www.bitmomentum.com","bitMomentum Bot")</f>
        <v>bitMomentum Bot</v>
      </c>
      <c r="L615" s="13">
        <v>10132</v>
      </c>
      <c r="M615" s="13">
        <v>1060</v>
      </c>
      <c r="N615" s="13">
        <v>267</v>
      </c>
      <c r="O615" s="15"/>
      <c r="P615" s="6">
        <v>41608.667511574073</v>
      </c>
      <c r="Q615" s="12"/>
      <c r="R615" s="17" t="s">
        <v>371</v>
      </c>
      <c r="S615" s="11" t="s">
        <v>372</v>
      </c>
      <c r="T615" s="12"/>
      <c r="U615" s="10" t="str">
        <f t="shared" ref="U615:U616" si="201">HYPERLINK("https://pbs.twimg.com/profile_images/378800000862185241/20ij2H3u.png","View")</f>
        <v>View</v>
      </c>
    </row>
    <row r="616" spans="1:21" ht="51">
      <c r="A616" s="6">
        <v>43422.938449074078</v>
      </c>
      <c r="B616" s="7" t="str">
        <f t="shared" si="199"/>
        <v>@bitMomentum</v>
      </c>
      <c r="C616" s="8" t="s">
        <v>368</v>
      </c>
      <c r="D616" s="9" t="s">
        <v>2199</v>
      </c>
      <c r="E616" s="10" t="str">
        <f>HYPERLINK("https://twitter.com/bitMomentum/status/1064269860144857088","1064269860144857088")</f>
        <v>1064269860144857088</v>
      </c>
      <c r="F616" s="12"/>
      <c r="G616" s="11" t="s">
        <v>2200</v>
      </c>
      <c r="H616" s="12"/>
      <c r="I616" s="13">
        <v>0</v>
      </c>
      <c r="J616" s="13">
        <v>0</v>
      </c>
      <c r="K616" s="14" t="str">
        <f t="shared" si="200"/>
        <v>bitMomentum Bot</v>
      </c>
      <c r="L616" s="13">
        <v>10132</v>
      </c>
      <c r="M616" s="13">
        <v>1060</v>
      </c>
      <c r="N616" s="13">
        <v>267</v>
      </c>
      <c r="O616" s="15"/>
      <c r="P616" s="6">
        <v>41608.667511574073</v>
      </c>
      <c r="Q616" s="12"/>
      <c r="R616" s="17" t="s">
        <v>371</v>
      </c>
      <c r="S616" s="11" t="s">
        <v>372</v>
      </c>
      <c r="T616" s="12"/>
      <c r="U616" s="10" t="str">
        <f t="shared" si="201"/>
        <v>View</v>
      </c>
    </row>
    <row r="617" spans="1:21" ht="40.799999999999997">
      <c r="A617" s="6">
        <v>43422.93586805556</v>
      </c>
      <c r="B617" s="7" t="str">
        <f>HYPERLINK("https://twitter.com/Joldencolfil","@Joldencolfil")</f>
        <v>@Joldencolfil</v>
      </c>
      <c r="C617" s="8" t="s">
        <v>2611</v>
      </c>
      <c r="D617" s="9" t="s">
        <v>2612</v>
      </c>
      <c r="E617" s="10" t="str">
        <f>HYPERLINK("https://twitter.com/Joldencolfil/status/1064268925490405377","1064268925490405377")</f>
        <v>1064268925490405377</v>
      </c>
      <c r="F617" s="12"/>
      <c r="G617" s="12"/>
      <c r="H617" s="12"/>
      <c r="I617" s="13">
        <v>0</v>
      </c>
      <c r="J617" s="13">
        <v>1</v>
      </c>
      <c r="K617" s="14" t="str">
        <f>HYPERLINK("http://twitter.com/download/iphone","Twitter for iPhone")</f>
        <v>Twitter for iPhone</v>
      </c>
      <c r="L617" s="13">
        <v>645</v>
      </c>
      <c r="M617" s="13">
        <v>132</v>
      </c>
      <c r="N617" s="13">
        <v>15</v>
      </c>
      <c r="O617" s="15"/>
      <c r="P617" s="6">
        <v>40705.650208333333</v>
      </c>
      <c r="Q617" s="16" t="s">
        <v>2614</v>
      </c>
      <c r="R617" s="17" t="s">
        <v>2615</v>
      </c>
      <c r="S617" s="12"/>
      <c r="T617" s="12"/>
      <c r="U617" s="10" t="str">
        <f>HYPERLINK("https://pbs.twimg.com/profile_images/1030898123231649792/ZkzXhnNK.jpg","View")</f>
        <v>View</v>
      </c>
    </row>
    <row r="618" spans="1:21" ht="30.6">
      <c r="A618" s="6">
        <v>43422.928541666668</v>
      </c>
      <c r="B618" s="7" t="str">
        <f>HYPERLINK("https://twitter.com/Somoslevedad","@Somoslevedad")</f>
        <v>@Somoslevedad</v>
      </c>
      <c r="C618" s="8" t="s">
        <v>2413</v>
      </c>
      <c r="D618" s="27" t="s">
        <v>2617</v>
      </c>
      <c r="E618" s="10" t="str">
        <f>HYPERLINK("https://twitter.com/Somoslevedad/status/1064266271376715783","1064266271376715783")</f>
        <v>1064266271376715783</v>
      </c>
      <c r="F618" s="12"/>
      <c r="G618" s="11" t="s">
        <v>2628</v>
      </c>
      <c r="H618" s="12"/>
      <c r="I618" s="13">
        <v>0</v>
      </c>
      <c r="J618" s="13">
        <v>1</v>
      </c>
      <c r="K618" s="14" t="str">
        <f t="shared" ref="K618:K620" si="202">HYPERLINK("http://twitter.com/download/android","Twitter for Android")</f>
        <v>Twitter for Android</v>
      </c>
      <c r="L618" s="13">
        <v>324</v>
      </c>
      <c r="M618" s="13">
        <v>284</v>
      </c>
      <c r="N618" s="13">
        <v>4</v>
      </c>
      <c r="O618" s="15"/>
      <c r="P618" s="6">
        <v>40620.730057870373</v>
      </c>
      <c r="Q618" s="16" t="s">
        <v>1319</v>
      </c>
      <c r="R618" s="17" t="s">
        <v>2416</v>
      </c>
      <c r="S618" s="12"/>
      <c r="T618" s="12"/>
      <c r="U618" s="10" t="str">
        <f>HYPERLINK("https://pbs.twimg.com/profile_images/918746036092456960/f0LUlnd_.jpg","View")</f>
        <v>View</v>
      </c>
    </row>
    <row r="619" spans="1:21" ht="61.2">
      <c r="A619" s="6">
        <v>43422.923888888894</v>
      </c>
      <c r="B619" s="7" t="str">
        <f>HYPERLINK("https://twitter.com/CMiarma","@CMiarma")</f>
        <v>@CMiarma</v>
      </c>
      <c r="C619" s="8" t="s">
        <v>1739</v>
      </c>
      <c r="D619" s="9" t="s">
        <v>2201</v>
      </c>
      <c r="E619" s="10" t="str">
        <f>HYPERLINK("https://twitter.com/CMiarma/status/1064264584356397058","1064264584356397058")</f>
        <v>1064264584356397058</v>
      </c>
      <c r="F619" s="12"/>
      <c r="G619" s="12"/>
      <c r="H619" s="12"/>
      <c r="I619" s="13">
        <v>0</v>
      </c>
      <c r="J619" s="13">
        <v>0</v>
      </c>
      <c r="K619" s="14" t="str">
        <f t="shared" si="202"/>
        <v>Twitter for Android</v>
      </c>
      <c r="L619" s="13">
        <v>0</v>
      </c>
      <c r="M619" s="13">
        <v>12</v>
      </c>
      <c r="N619" s="13">
        <v>0</v>
      </c>
      <c r="O619" s="15"/>
      <c r="P619" s="6">
        <v>43422.879837962959</v>
      </c>
      <c r="Q619" s="16" t="s">
        <v>1677</v>
      </c>
      <c r="R619" s="21"/>
      <c r="S619" s="12"/>
      <c r="T619" s="12"/>
      <c r="U619" s="10" t="str">
        <f>HYPERLINK("https://pbs.twimg.com/profile_images/1064252405599125504/R2iihwnD.jpg","View")</f>
        <v>View</v>
      </c>
    </row>
    <row r="620" spans="1:21" ht="71.400000000000006">
      <c r="A620" s="6">
        <v>43422.914004629631</v>
      </c>
      <c r="B620" s="7" t="str">
        <f>HYPERLINK("https://twitter.com/Davidspol","@Davidspol")</f>
        <v>@Davidspol</v>
      </c>
      <c r="C620" s="8" t="s">
        <v>2202</v>
      </c>
      <c r="D620" s="9" t="s">
        <v>2203</v>
      </c>
      <c r="E620" s="10" t="str">
        <f>HYPERLINK("https://twitter.com/Davidspol/status/1064261000881410049","1064261000881410049")</f>
        <v>1064261000881410049</v>
      </c>
      <c r="F620" s="11" t="s">
        <v>2204</v>
      </c>
      <c r="G620" s="11" t="s">
        <v>2205</v>
      </c>
      <c r="H620" s="12"/>
      <c r="I620" s="13">
        <v>19</v>
      </c>
      <c r="J620" s="13">
        <v>16</v>
      </c>
      <c r="K620" s="14" t="str">
        <f t="shared" si="202"/>
        <v>Twitter for Android</v>
      </c>
      <c r="L620" s="13">
        <v>84</v>
      </c>
      <c r="M620" s="13">
        <v>147</v>
      </c>
      <c r="N620" s="13">
        <v>0</v>
      </c>
      <c r="O620" s="15"/>
      <c r="P620" s="6">
        <v>41400.951631944445</v>
      </c>
      <c r="Q620" s="12"/>
      <c r="R620" s="17" t="s">
        <v>2206</v>
      </c>
      <c r="S620" s="12"/>
      <c r="T620" s="12"/>
      <c r="U620" s="10" t="str">
        <f>HYPERLINK("https://pbs.twimg.com/profile_images/433233019726757888/alKHEca5.jpeg","View")</f>
        <v>View</v>
      </c>
    </row>
    <row r="621" spans="1:21" ht="20.399999999999999">
      <c r="A621" s="6">
        <v>43422.907025462962</v>
      </c>
      <c r="B621" s="7" t="str">
        <f>HYPERLINK("https://twitter.com/negativo_stats","@negativo_stats")</f>
        <v>@negativo_stats</v>
      </c>
      <c r="C621" s="8" t="s">
        <v>41</v>
      </c>
      <c r="D621" s="9" t="s">
        <v>2207</v>
      </c>
      <c r="E621" s="10" t="str">
        <f>HYPERLINK("https://twitter.com/negativo_stats/status/1064258470944358400","1064258470944358400")</f>
        <v>1064258470944358400</v>
      </c>
      <c r="F621" s="12"/>
      <c r="G621" s="11" t="s">
        <v>2208</v>
      </c>
      <c r="H621" s="12"/>
      <c r="I621" s="13">
        <v>0</v>
      </c>
      <c r="J621" s="13">
        <v>0</v>
      </c>
      <c r="K621" s="14" t="str">
        <f>HYPERLINK("http://kosmonautica.es","Política Negativa")</f>
        <v>Política Negativa</v>
      </c>
      <c r="L621" s="13">
        <v>256</v>
      </c>
      <c r="M621" s="13">
        <v>694</v>
      </c>
      <c r="N621" s="13">
        <v>2</v>
      </c>
      <c r="O621" s="15"/>
      <c r="P621" s="6">
        <v>42171.770601851851</v>
      </c>
      <c r="Q621" s="16" t="s">
        <v>44</v>
      </c>
      <c r="R621" s="17" t="s">
        <v>45</v>
      </c>
      <c r="S621" s="12"/>
      <c r="T621" s="12"/>
      <c r="U621" s="10" t="str">
        <f>HYPERLINK("https://pbs.twimg.com/profile_images/628553625984438272/e-VHyhP1.png","View")</f>
        <v>View</v>
      </c>
    </row>
    <row r="622" spans="1:21" ht="61.2">
      <c r="A622" s="6">
        <v>43422.902986111112</v>
      </c>
      <c r="B622" s="7" t="str">
        <f>HYPERLINK("https://twitter.com/alexcor83","@alexcor83")</f>
        <v>@alexcor83</v>
      </c>
      <c r="C622" s="8" t="s">
        <v>2209</v>
      </c>
      <c r="D622" s="9" t="s">
        <v>2210</v>
      </c>
      <c r="E622" s="10" t="str">
        <f>HYPERLINK("https://twitter.com/alexcor83/status/1064257007358750720","1064257007358750720")</f>
        <v>1064257007358750720</v>
      </c>
      <c r="F622" s="12"/>
      <c r="G622" s="11" t="s">
        <v>2211</v>
      </c>
      <c r="H622" s="12"/>
      <c r="I622" s="13">
        <v>50</v>
      </c>
      <c r="J622" s="13">
        <v>63</v>
      </c>
      <c r="K622" s="14" t="str">
        <f t="shared" ref="K622:K623" si="203">HYPERLINK("http://twitter.com/download/iphone","Twitter for iPhone")</f>
        <v>Twitter for iPhone</v>
      </c>
      <c r="L622" s="13">
        <v>172</v>
      </c>
      <c r="M622" s="13">
        <v>510</v>
      </c>
      <c r="N622" s="13">
        <v>0</v>
      </c>
      <c r="O622" s="15"/>
      <c r="P622" s="6">
        <v>40672.439328703702</v>
      </c>
      <c r="Q622" s="12"/>
      <c r="R622" s="21"/>
      <c r="S622" s="12"/>
      <c r="T622" s="12"/>
      <c r="U622" s="10" t="str">
        <f>HYPERLINK("https://pbs.twimg.com/profile_images/457754638180433920/ZeDYuaIy.jpeg","View")</f>
        <v>View</v>
      </c>
    </row>
    <row r="623" spans="1:21" ht="40.799999999999997">
      <c r="A623" s="6">
        <v>43422.90048611111</v>
      </c>
      <c r="B623" s="7" t="str">
        <f>HYPERLINK("https://twitter.com/cuentavox","@cuentavox")</f>
        <v>@cuentavox</v>
      </c>
      <c r="C623" s="8" t="s">
        <v>2215</v>
      </c>
      <c r="D623" s="9" t="s">
        <v>2216</v>
      </c>
      <c r="E623" s="10" t="str">
        <f>HYPERLINK("https://twitter.com/cuentavox/status/1064256102148255745","1064256102148255745")</f>
        <v>1064256102148255745</v>
      </c>
      <c r="F623" s="12"/>
      <c r="G623" s="11" t="s">
        <v>2217</v>
      </c>
      <c r="H623" s="12"/>
      <c r="I623" s="13">
        <v>0</v>
      </c>
      <c r="J623" s="13">
        <v>0</v>
      </c>
      <c r="K623" s="14" t="str">
        <f t="shared" si="203"/>
        <v>Twitter for iPhone</v>
      </c>
      <c r="L623" s="13">
        <v>1151</v>
      </c>
      <c r="M623" s="13">
        <v>344</v>
      </c>
      <c r="N623" s="13">
        <v>25</v>
      </c>
      <c r="O623" s="15"/>
      <c r="P623" s="6">
        <v>42390.786990740744</v>
      </c>
      <c r="Q623" s="16" t="s">
        <v>2218</v>
      </c>
      <c r="R623" s="17" t="s">
        <v>2219</v>
      </c>
      <c r="S623" s="12"/>
      <c r="T623" s="12"/>
      <c r="U623" s="10" t="str">
        <f>HYPERLINK("https://pbs.twimg.com/profile_images/1064649033933864961/yLorZbPr.jpg","View")</f>
        <v>View</v>
      </c>
    </row>
    <row r="624" spans="1:21" ht="51">
      <c r="A624" s="6">
        <v>43422.895486111112</v>
      </c>
      <c r="B624" s="7" t="str">
        <f>HYPERLINK("https://twitter.com/lunadebenidorm","@lunadebenidorm")</f>
        <v>@lunadebenidorm</v>
      </c>
      <c r="C624" s="8" t="s">
        <v>106</v>
      </c>
      <c r="D624" s="9" t="s">
        <v>2222</v>
      </c>
      <c r="E624" s="10" t="str">
        <f>HYPERLINK("https://twitter.com/lunadebenidorm/status/1064254292696211458","1064254292696211458")</f>
        <v>1064254292696211458</v>
      </c>
      <c r="F624" s="12"/>
      <c r="G624" s="11" t="s">
        <v>2224</v>
      </c>
      <c r="H624" s="12"/>
      <c r="I624" s="13">
        <v>0</v>
      </c>
      <c r="J624" s="13">
        <v>0</v>
      </c>
      <c r="K624" s="14" t="str">
        <f t="shared" ref="K624:K626" si="204">HYPERLINK("http://twitter.com/download/android","Twitter for Android")</f>
        <v>Twitter for Android</v>
      </c>
      <c r="L624" s="13">
        <v>3991</v>
      </c>
      <c r="M624" s="13">
        <v>3978</v>
      </c>
      <c r="N624" s="13">
        <v>79</v>
      </c>
      <c r="O624" s="15"/>
      <c r="P624" s="6">
        <v>41461.81186342593</v>
      </c>
      <c r="Q624" s="12"/>
      <c r="R624" s="17" t="s">
        <v>108</v>
      </c>
      <c r="S624" s="12"/>
      <c r="T624" s="12"/>
      <c r="U624" s="10" t="str">
        <f>HYPERLINK("https://pbs.twimg.com/profile_images/1061229593758257153/rePCQt08.jpg","View")</f>
        <v>View</v>
      </c>
    </row>
    <row r="625" spans="1:21" ht="20.399999999999999">
      <c r="A625" s="6">
        <v>43422.887060185181</v>
      </c>
      <c r="B625" s="7" t="str">
        <f>HYPERLINK("https://twitter.com/satancucufato","@satancucufato")</f>
        <v>@satancucufato</v>
      </c>
      <c r="C625" s="8" t="s">
        <v>2650</v>
      </c>
      <c r="D625" s="9" t="s">
        <v>2651</v>
      </c>
      <c r="E625" s="10" t="str">
        <f>HYPERLINK("https://twitter.com/satancucufato/status/1064251239251304453","1064251239251304453")</f>
        <v>1064251239251304453</v>
      </c>
      <c r="F625" s="12"/>
      <c r="G625" s="12"/>
      <c r="H625" s="12"/>
      <c r="I625" s="13">
        <v>0</v>
      </c>
      <c r="J625" s="13">
        <v>0</v>
      </c>
      <c r="K625" s="14" t="str">
        <f t="shared" si="204"/>
        <v>Twitter for Android</v>
      </c>
      <c r="L625" s="13">
        <v>1293</v>
      </c>
      <c r="M625" s="13">
        <v>3809</v>
      </c>
      <c r="N625" s="13">
        <v>23</v>
      </c>
      <c r="O625" s="15"/>
      <c r="P625" s="6">
        <v>40492.008518518516</v>
      </c>
      <c r="Q625" s="16" t="s">
        <v>2655</v>
      </c>
      <c r="R625" s="17" t="s">
        <v>2656</v>
      </c>
      <c r="S625" s="12"/>
      <c r="T625" s="12"/>
      <c r="U625" s="10" t="str">
        <f>HYPERLINK("https://pbs.twimg.com/profile_images/1851661676/extran_CC_83ado.jpg","View")</f>
        <v>View</v>
      </c>
    </row>
    <row r="626" spans="1:21" ht="91.8">
      <c r="A626" s="6">
        <v>43422.886817129634</v>
      </c>
      <c r="B626" s="7" t="str">
        <f>HYPERLINK("https://twitter.com/ParePitof","@ParePitof")</f>
        <v>@ParePitof</v>
      </c>
      <c r="C626" s="8" t="s">
        <v>2225</v>
      </c>
      <c r="D626" s="9" t="s">
        <v>2226</v>
      </c>
      <c r="E626" s="10" t="str">
        <f>HYPERLINK("https://twitter.com/ParePitof/status/1064251148037775366","1064251148037775366")</f>
        <v>1064251148037775366</v>
      </c>
      <c r="F626" s="11" t="s">
        <v>1889</v>
      </c>
      <c r="G626" s="11" t="s">
        <v>1890</v>
      </c>
      <c r="H626" s="12"/>
      <c r="I626" s="13">
        <v>1</v>
      </c>
      <c r="J626" s="13">
        <v>1</v>
      </c>
      <c r="K626" s="14" t="str">
        <f t="shared" si="204"/>
        <v>Twitter for Android</v>
      </c>
      <c r="L626" s="13">
        <v>106</v>
      </c>
      <c r="M626" s="13">
        <v>411</v>
      </c>
      <c r="N626" s="13">
        <v>0</v>
      </c>
      <c r="O626" s="15"/>
      <c r="P626" s="6">
        <v>43084.88076388889</v>
      </c>
      <c r="Q626" s="12"/>
      <c r="R626" s="17" t="s">
        <v>2227</v>
      </c>
      <c r="S626" s="12"/>
      <c r="T626" s="12"/>
      <c r="U626" s="10" t="str">
        <f>HYPERLINK("https://pbs.twimg.com/profile_images/941770215687417856/gsLF3tJe.jpg","View")</f>
        <v>View</v>
      </c>
    </row>
    <row r="627" spans="1:21" ht="51">
      <c r="A627" s="6">
        <v>43422.885416666672</v>
      </c>
      <c r="B627" s="7" t="str">
        <f>HYPERLINK("https://twitter.com/indpcom","@indpcom")</f>
        <v>@indpcom</v>
      </c>
      <c r="C627" s="8" t="s">
        <v>1753</v>
      </c>
      <c r="D627" s="9" t="s">
        <v>1754</v>
      </c>
      <c r="E627" s="10" t="str">
        <f>HYPERLINK("https://twitter.com/indpcom/status/1064250641403584513","1064250641403584513")</f>
        <v>1064250641403584513</v>
      </c>
      <c r="F627" s="11" t="s">
        <v>1755</v>
      </c>
      <c r="G627" s="12"/>
      <c r="H627" s="12"/>
      <c r="I627" s="13">
        <v>10</v>
      </c>
      <c r="J627" s="13">
        <v>16</v>
      </c>
      <c r="K627" s="14" t="str">
        <f>HYPERLINK("https://about.twitter.com/products/tweetdeck","TweetDeck")</f>
        <v>TweetDeck</v>
      </c>
      <c r="L627" s="13">
        <v>57680</v>
      </c>
      <c r="M627" s="13">
        <v>1302</v>
      </c>
      <c r="N627" s="13">
        <v>1099</v>
      </c>
      <c r="O627" s="23" t="s">
        <v>186</v>
      </c>
      <c r="P627" s="6">
        <v>42537.702719907407</v>
      </c>
      <c r="Q627" s="16" t="s">
        <v>44</v>
      </c>
      <c r="R627" s="17" t="s">
        <v>1756</v>
      </c>
      <c r="S627" s="11" t="s">
        <v>1757</v>
      </c>
      <c r="T627" s="12"/>
      <c r="U627" s="10" t="str">
        <f>HYPERLINK("https://pbs.twimg.com/profile_images/773807977069420544/o4tNI4zQ.jpg","View")</f>
        <v>View</v>
      </c>
    </row>
    <row r="628" spans="1:21" ht="51">
      <c r="A628" s="6">
        <v>43422.881620370375</v>
      </c>
      <c r="B628" s="7" t="str">
        <f t="shared" ref="B628:B629" si="205">HYPERLINK("https://twitter.com/lunadebenidorm","@lunadebenidorm")</f>
        <v>@lunadebenidorm</v>
      </c>
      <c r="C628" s="8" t="s">
        <v>106</v>
      </c>
      <c r="D628" s="9" t="s">
        <v>2228</v>
      </c>
      <c r="E628" s="10" t="str">
        <f>HYPERLINK("https://twitter.com/lunadebenidorm/status/1064249266611335169","1064249266611335169")</f>
        <v>1064249266611335169</v>
      </c>
      <c r="F628" s="12"/>
      <c r="G628" s="11" t="s">
        <v>2229</v>
      </c>
      <c r="H628" s="12"/>
      <c r="I628" s="13">
        <v>1</v>
      </c>
      <c r="J628" s="13">
        <v>2</v>
      </c>
      <c r="K628" s="14" t="str">
        <f t="shared" ref="K628:K629" si="206">HYPERLINK("http://twitter.com/download/android","Twitter for Android")</f>
        <v>Twitter for Android</v>
      </c>
      <c r="L628" s="13">
        <v>3991</v>
      </c>
      <c r="M628" s="13">
        <v>3978</v>
      </c>
      <c r="N628" s="13">
        <v>79</v>
      </c>
      <c r="O628" s="15"/>
      <c r="P628" s="6">
        <v>41461.81186342593</v>
      </c>
      <c r="Q628" s="12"/>
      <c r="R628" s="17" t="s">
        <v>108</v>
      </c>
      <c r="S628" s="12"/>
      <c r="T628" s="12"/>
      <c r="U628" s="10" t="str">
        <f t="shared" ref="U628:U629" si="207">HYPERLINK("https://pbs.twimg.com/profile_images/1061229593758257153/rePCQt08.jpg","View")</f>
        <v>View</v>
      </c>
    </row>
    <row r="629" spans="1:21" ht="13.2">
      <c r="A629" s="6">
        <v>43422.877372685187</v>
      </c>
      <c r="B629" s="7" t="str">
        <f t="shared" si="205"/>
        <v>@lunadebenidorm</v>
      </c>
      <c r="C629" s="8" t="s">
        <v>106</v>
      </c>
      <c r="D629" s="9" t="s">
        <v>2230</v>
      </c>
      <c r="E629" s="10" t="str">
        <f>HYPERLINK("https://twitter.com/lunadebenidorm/status/1064247726664228870","1064247726664228870")</f>
        <v>1064247726664228870</v>
      </c>
      <c r="F629" s="11" t="s">
        <v>2231</v>
      </c>
      <c r="G629" s="12"/>
      <c r="H629" s="12"/>
      <c r="I629" s="13">
        <v>0</v>
      </c>
      <c r="J629" s="13">
        <v>0</v>
      </c>
      <c r="K629" s="14" t="str">
        <f t="shared" si="206"/>
        <v>Twitter for Android</v>
      </c>
      <c r="L629" s="13">
        <v>3991</v>
      </c>
      <c r="M629" s="13">
        <v>3978</v>
      </c>
      <c r="N629" s="13">
        <v>79</v>
      </c>
      <c r="O629" s="15"/>
      <c r="P629" s="6">
        <v>41461.81186342593</v>
      </c>
      <c r="Q629" s="12"/>
      <c r="R629" s="17" t="s">
        <v>108</v>
      </c>
      <c r="S629" s="12"/>
      <c r="T629" s="12"/>
      <c r="U629" s="10" t="str">
        <f t="shared" si="207"/>
        <v>View</v>
      </c>
    </row>
    <row r="630" spans="1:21" ht="51">
      <c r="A630" s="6">
        <v>43422.877349537041</v>
      </c>
      <c r="B630" s="7" t="str">
        <f>HYPERLINK("https://twitter.com/dikindoi","@dikindoi")</f>
        <v>@dikindoi</v>
      </c>
      <c r="C630" s="8" t="s">
        <v>2232</v>
      </c>
      <c r="D630" s="9" t="s">
        <v>2233</v>
      </c>
      <c r="E630" s="10" t="str">
        <f>HYPERLINK("https://twitter.com/dikindoi/status/1064247720523771906","1064247720523771906")</f>
        <v>1064247720523771906</v>
      </c>
      <c r="F630" s="11" t="s">
        <v>2234</v>
      </c>
      <c r="G630" s="12"/>
      <c r="H630" s="12"/>
      <c r="I630" s="13">
        <v>0</v>
      </c>
      <c r="J630" s="13">
        <v>0</v>
      </c>
      <c r="K630" s="14" t="str">
        <f>HYPERLINK("http://twitter.com/download/iphone","Twitter for iPhone")</f>
        <v>Twitter for iPhone</v>
      </c>
      <c r="L630" s="13">
        <v>770</v>
      </c>
      <c r="M630" s="13">
        <v>1553</v>
      </c>
      <c r="N630" s="13">
        <v>13</v>
      </c>
      <c r="O630" s="15"/>
      <c r="P630" s="6">
        <v>41760.62364583333</v>
      </c>
      <c r="Q630" s="12"/>
      <c r="R630" s="17" t="s">
        <v>2235</v>
      </c>
      <c r="S630" s="12"/>
      <c r="T630" s="12"/>
      <c r="U630" s="10" t="str">
        <f>HYPERLINK("https://pbs.twimg.com/profile_images/989086996575514626/DvZGXjxm.jpg","View")</f>
        <v>View</v>
      </c>
    </row>
    <row r="631" spans="1:21" ht="30.6">
      <c r="A631" s="6">
        <v>43422.875138888892</v>
      </c>
      <c r="B631" s="7" t="str">
        <f>HYPERLINK("https://twitter.com/horasurdigital","@horasurdigital")</f>
        <v>@horasurdigital</v>
      </c>
      <c r="C631" s="25" t="s">
        <v>1758</v>
      </c>
      <c r="D631" s="9" t="s">
        <v>1759</v>
      </c>
      <c r="E631" s="10" t="str">
        <f>HYPERLINK("https://twitter.com/horasurdigital/status/1064246916576411648","1064246916576411648")</f>
        <v>1064246916576411648</v>
      </c>
      <c r="F631" s="11" t="s">
        <v>1760</v>
      </c>
      <c r="G631" s="12"/>
      <c r="H631" s="12"/>
      <c r="I631" s="13">
        <v>0</v>
      </c>
      <c r="J631" s="13">
        <v>0</v>
      </c>
      <c r="K631" s="14" t="str">
        <f>HYPERLINK("http://twitter.com","Twitter Web Client")</f>
        <v>Twitter Web Client</v>
      </c>
      <c r="L631" s="13">
        <v>5425</v>
      </c>
      <c r="M631" s="13">
        <v>1177</v>
      </c>
      <c r="N631" s="13">
        <v>81</v>
      </c>
      <c r="O631" s="15"/>
      <c r="P631" s="6">
        <v>40589.678159722222</v>
      </c>
      <c r="Q631" s="16" t="s">
        <v>1762</v>
      </c>
      <c r="R631" s="17" t="s">
        <v>1763</v>
      </c>
      <c r="S631" s="11" t="s">
        <v>1764</v>
      </c>
      <c r="T631" s="12"/>
      <c r="U631" s="10" t="str">
        <f>HYPERLINK("https://pbs.twimg.com/profile_images/790693775182004225/Q3B8kJQ8.jpg","View")</f>
        <v>View</v>
      </c>
    </row>
    <row r="632" spans="1:21" ht="51">
      <c r="A632" s="6">
        <v>43422.872395833328</v>
      </c>
      <c r="B632" s="7" t="str">
        <f>HYPERLINK("https://twitter.com/sosciudadanos","@sosciudadanos")</f>
        <v>@sosciudadanos</v>
      </c>
      <c r="C632" s="8" t="s">
        <v>1770</v>
      </c>
      <c r="D632" s="9" t="s">
        <v>1771</v>
      </c>
      <c r="E632" s="10" t="str">
        <f>HYPERLINK("https://twitter.com/sosciudadanos/status/1064245924266995712","1064245924266995712")</f>
        <v>1064245924266995712</v>
      </c>
      <c r="F632" s="11" t="s">
        <v>1156</v>
      </c>
      <c r="G632" s="12"/>
      <c r="H632" s="12"/>
      <c r="I632" s="13">
        <v>0</v>
      </c>
      <c r="J632" s="13">
        <v>0</v>
      </c>
      <c r="K632" s="14" t="str">
        <f>HYPERLINK("http://tapbots.com/tweetbot","Tweetbot for iΟS")</f>
        <v>Tweetbot for iΟS</v>
      </c>
      <c r="L632" s="13">
        <v>246</v>
      </c>
      <c r="M632" s="13">
        <v>239</v>
      </c>
      <c r="N632" s="13">
        <v>0</v>
      </c>
      <c r="O632" s="15"/>
      <c r="P632" s="6">
        <v>40502.868402777778</v>
      </c>
      <c r="Q632" s="12"/>
      <c r="R632" s="17" t="s">
        <v>1775</v>
      </c>
      <c r="S632" s="12"/>
      <c r="T632" s="12"/>
      <c r="U632" s="10" t="str">
        <f>HYPERLINK("https://pbs.twimg.com/profile_images/1365930752/Fotolia_21253940_S.jpg","View")</f>
        <v>View</v>
      </c>
    </row>
    <row r="633" spans="1:21" ht="51">
      <c r="A633" s="6">
        <v>43422.853796296295</v>
      </c>
      <c r="B633" s="7" t="str">
        <f>HYPERLINK("https://twitter.com/sergio_castro_g","@sergio_castro_g")</f>
        <v>@sergio_castro_g</v>
      </c>
      <c r="C633" s="8" t="s">
        <v>2238</v>
      </c>
      <c r="D633" s="9" t="s">
        <v>2239</v>
      </c>
      <c r="E633" s="10" t="str">
        <f>HYPERLINK("https://twitter.com/sergio_castro_g/status/1064239184649560065","1064239184649560065")</f>
        <v>1064239184649560065</v>
      </c>
      <c r="F633" s="12"/>
      <c r="G633" s="12"/>
      <c r="H633" s="12"/>
      <c r="I633" s="13">
        <v>68</v>
      </c>
      <c r="J633" s="13">
        <v>107</v>
      </c>
      <c r="K633" s="14" t="str">
        <f>HYPERLINK("http://twitter.com/download/iphone","Twitter for iPhone")</f>
        <v>Twitter for iPhone</v>
      </c>
      <c r="L633" s="13">
        <v>10773</v>
      </c>
      <c r="M633" s="13">
        <v>1501</v>
      </c>
      <c r="N633" s="13">
        <v>44</v>
      </c>
      <c r="O633" s="15"/>
      <c r="P633" s="6">
        <v>41953.932233796295</v>
      </c>
      <c r="Q633" s="16" t="s">
        <v>2240</v>
      </c>
      <c r="R633" s="17" t="s">
        <v>2241</v>
      </c>
      <c r="S633" s="11" t="s">
        <v>2242</v>
      </c>
      <c r="T633" s="12"/>
      <c r="U633" s="10" t="str">
        <f>HYPERLINK("https://pbs.twimg.com/profile_images/946151168421629954/-vuHyIDF.jpg","View")</f>
        <v>View</v>
      </c>
    </row>
    <row r="634" spans="1:21" ht="102">
      <c r="A634" s="6">
        <v>43422.848796296297</v>
      </c>
      <c r="B634" s="7" t="str">
        <f>HYPERLINK("https://twitter.com/AlberRoC","@AlberRoC")</f>
        <v>@AlberRoC</v>
      </c>
      <c r="C634" s="8" t="s">
        <v>2243</v>
      </c>
      <c r="D634" s="9" t="s">
        <v>2244</v>
      </c>
      <c r="E634" s="10" t="str">
        <f>HYPERLINK("https://twitter.com/AlberRoC/status/1064237372374728704","1064237372374728704")</f>
        <v>1064237372374728704</v>
      </c>
      <c r="F634" s="11" t="s">
        <v>2245</v>
      </c>
      <c r="G634" s="11" t="s">
        <v>1890</v>
      </c>
      <c r="H634" s="12"/>
      <c r="I634" s="13">
        <v>0</v>
      </c>
      <c r="J634" s="13">
        <v>0</v>
      </c>
      <c r="K634" s="14" t="str">
        <f>HYPERLINK("http://twitter.com/#!/download/ipad","Twitter for iPad")</f>
        <v>Twitter for iPad</v>
      </c>
      <c r="L634" s="13">
        <v>2198</v>
      </c>
      <c r="M634" s="13">
        <v>2829</v>
      </c>
      <c r="N634" s="13">
        <v>32</v>
      </c>
      <c r="O634" s="15"/>
      <c r="P634" s="6">
        <v>40661.015798611115</v>
      </c>
      <c r="Q634" s="16" t="s">
        <v>2246</v>
      </c>
      <c r="R634" s="17" t="s">
        <v>2247</v>
      </c>
      <c r="S634" s="12"/>
      <c r="T634" s="12"/>
      <c r="U634" s="10" t="str">
        <f>HYPERLINK("https://pbs.twimg.com/profile_images/1051485436210794496/wxF7GSqc.jpg","View")</f>
        <v>View</v>
      </c>
    </row>
    <row r="635" spans="1:21" ht="30.6">
      <c r="A635" s="6">
        <v>43422.845995370371</v>
      </c>
      <c r="B635" s="7" t="str">
        <f>HYPERLINK("https://twitter.com/el_Ojazos79","@el_Ojazos79")</f>
        <v>@el_Ojazos79</v>
      </c>
      <c r="C635" s="8" t="s">
        <v>728</v>
      </c>
      <c r="D635" s="9" t="s">
        <v>2248</v>
      </c>
      <c r="E635" s="10" t="str">
        <f>HYPERLINK("https://twitter.com/el_Ojazos79/status/1064236355373416449","1064236355373416449")</f>
        <v>1064236355373416449</v>
      </c>
      <c r="F635" s="11" t="s">
        <v>2249</v>
      </c>
      <c r="G635" s="11" t="s">
        <v>2250</v>
      </c>
      <c r="H635" s="12"/>
      <c r="I635" s="13">
        <v>1</v>
      </c>
      <c r="J635" s="13">
        <v>1</v>
      </c>
      <c r="K635" s="14" t="str">
        <f>HYPERLINK("http://twitter.com/download/android","Twitter for Android")</f>
        <v>Twitter for Android</v>
      </c>
      <c r="L635" s="13">
        <v>7</v>
      </c>
      <c r="M635" s="13">
        <v>108</v>
      </c>
      <c r="N635" s="13">
        <v>0</v>
      </c>
      <c r="O635" s="15"/>
      <c r="P635" s="6">
        <v>43253.526944444442</v>
      </c>
      <c r="Q635" s="16" t="s">
        <v>2251</v>
      </c>
      <c r="R635" s="17" t="s">
        <v>2252</v>
      </c>
      <c r="S635" s="12"/>
      <c r="T635" s="12"/>
      <c r="U635" s="10" t="str">
        <f>HYPERLINK("https://pbs.twimg.com/profile_images/1014622715431542784/Rg0qkMrG.jpg","View")</f>
        <v>View</v>
      </c>
    </row>
    <row r="636" spans="1:21" ht="71.400000000000006">
      <c r="A636" s="6">
        <v>43422.845034722224</v>
      </c>
      <c r="B636" s="7" t="str">
        <f>HYPERLINK("https://twitter.com/philidor38","@philidor38")</f>
        <v>@philidor38</v>
      </c>
      <c r="C636" s="8" t="s">
        <v>935</v>
      </c>
      <c r="D636" s="9" t="s">
        <v>2253</v>
      </c>
      <c r="E636" s="10" t="str">
        <f>HYPERLINK("https://twitter.com/philidor38/status/1064236005862055943","1064236005862055943")</f>
        <v>1064236005862055943</v>
      </c>
      <c r="F636" s="16" t="s">
        <v>2254</v>
      </c>
      <c r="G636" s="12"/>
      <c r="H636" s="12"/>
      <c r="I636" s="13">
        <v>1</v>
      </c>
      <c r="J636" s="13">
        <v>0</v>
      </c>
      <c r="K636" s="14" t="str">
        <f>HYPERLINK("http://twitter.com","Twitter Web Client")</f>
        <v>Twitter Web Client</v>
      </c>
      <c r="L636" s="13">
        <v>834</v>
      </c>
      <c r="M636" s="13">
        <v>625</v>
      </c>
      <c r="N636" s="13">
        <v>4</v>
      </c>
      <c r="O636" s="15"/>
      <c r="P636" s="6">
        <v>41882.968900462962</v>
      </c>
      <c r="Q636" s="12"/>
      <c r="R636" s="17" t="s">
        <v>936</v>
      </c>
      <c r="S636" s="11" t="s">
        <v>938</v>
      </c>
      <c r="T636" s="12"/>
      <c r="U636" s="10" t="str">
        <f>HYPERLINK("https://pbs.twimg.com/profile_images/1061308076928745473/Pn8N4HWB.jpg","View")</f>
        <v>View</v>
      </c>
    </row>
    <row r="637" spans="1:21" ht="30.6">
      <c r="A637" s="6">
        <v>43422.831261574072</v>
      </c>
      <c r="B637" s="7" t="str">
        <f>HYPERLINK("https://twitter.com/Santi_ABASCAL","@Santi_ABASCAL")</f>
        <v>@Santi_ABASCAL</v>
      </c>
      <c r="C637" s="8" t="s">
        <v>182</v>
      </c>
      <c r="D637" s="9" t="s">
        <v>2713</v>
      </c>
      <c r="E637" s="10" t="str">
        <f>HYPERLINK("https://twitter.com/Santi_ABASCAL/status/1064231017656066049","1064231017656066049")</f>
        <v>1064231017656066049</v>
      </c>
      <c r="F637" s="12"/>
      <c r="G637" s="11" t="s">
        <v>1701</v>
      </c>
      <c r="H637" s="12"/>
      <c r="I637" s="13">
        <v>1482</v>
      </c>
      <c r="J637" s="13">
        <v>3101</v>
      </c>
      <c r="K637" s="14" t="str">
        <f t="shared" ref="K637:K640" si="208">HYPERLINK("http://twitter.com/download/android","Twitter for Android")</f>
        <v>Twitter for Android</v>
      </c>
      <c r="L637" s="13">
        <v>117602</v>
      </c>
      <c r="M637" s="13">
        <v>3896</v>
      </c>
      <c r="N637" s="13">
        <v>915</v>
      </c>
      <c r="O637" s="23" t="s">
        <v>186</v>
      </c>
      <c r="P637" s="6">
        <v>40606.716446759259</v>
      </c>
      <c r="Q637" s="16" t="s">
        <v>188</v>
      </c>
      <c r="R637" s="17" t="s">
        <v>189</v>
      </c>
      <c r="S637" s="11" t="s">
        <v>190</v>
      </c>
      <c r="T637" s="12"/>
      <c r="U637" s="10" t="str">
        <f>HYPERLINK("https://pbs.twimg.com/profile_images/1010488787686879232/2CnqYKlD.jpg","View")</f>
        <v>View</v>
      </c>
    </row>
    <row r="638" spans="1:21" ht="61.2">
      <c r="A638" s="6">
        <v>43422.828217592592</v>
      </c>
      <c r="B638" s="7" t="str">
        <f>HYPERLINK("https://twitter.com/raquelmorenobar","@raquelmorenobar")</f>
        <v>@raquelmorenobar</v>
      </c>
      <c r="C638" s="8" t="s">
        <v>2255</v>
      </c>
      <c r="D638" s="9" t="s">
        <v>2256</v>
      </c>
      <c r="E638" s="10" t="str">
        <f>HYPERLINK("https://twitter.com/raquelmorenobar/status/1064229914847715329","1064229914847715329")</f>
        <v>1064229914847715329</v>
      </c>
      <c r="F638" s="11" t="s">
        <v>2257</v>
      </c>
      <c r="G638" s="11" t="s">
        <v>2258</v>
      </c>
      <c r="H638" s="12"/>
      <c r="I638" s="13">
        <v>0</v>
      </c>
      <c r="J638" s="13">
        <v>0</v>
      </c>
      <c r="K638" s="14" t="str">
        <f t="shared" si="208"/>
        <v>Twitter for Android</v>
      </c>
      <c r="L638" s="13">
        <v>93</v>
      </c>
      <c r="M638" s="13">
        <v>139</v>
      </c>
      <c r="N638" s="13">
        <v>0</v>
      </c>
      <c r="O638" s="15"/>
      <c r="P638" s="6">
        <v>40742.653263888889</v>
      </c>
      <c r="Q638" s="12"/>
      <c r="R638" s="17" t="s">
        <v>2259</v>
      </c>
      <c r="S638" s="12"/>
      <c r="T638" s="12"/>
      <c r="U638" s="10" t="str">
        <f>HYPERLINK("https://pbs.twimg.com/profile_images/1032036088095891456/iSZwOObA.jpg","View")</f>
        <v>View</v>
      </c>
    </row>
    <row r="639" spans="1:21" ht="61.2">
      <c r="A639" s="6">
        <v>43422.827905092592</v>
      </c>
      <c r="B639" s="7" t="str">
        <f>HYPERLINK("https://twitter.com/vlcspaeu","@vlcspaeu")</f>
        <v>@vlcspaeu</v>
      </c>
      <c r="C639" s="8" t="s">
        <v>2260</v>
      </c>
      <c r="D639" s="9" t="s">
        <v>2261</v>
      </c>
      <c r="E639" s="10" t="str">
        <f>HYPERLINK("https://twitter.com/vlcspaeu/status/1064229800901058567","1064229800901058567")</f>
        <v>1064229800901058567</v>
      </c>
      <c r="F639" s="12"/>
      <c r="G639" s="12"/>
      <c r="H639" s="12"/>
      <c r="I639" s="13">
        <v>1</v>
      </c>
      <c r="J639" s="13">
        <v>5</v>
      </c>
      <c r="K639" s="14" t="str">
        <f t="shared" si="208"/>
        <v>Twitter for Android</v>
      </c>
      <c r="L639" s="13">
        <v>345</v>
      </c>
      <c r="M639" s="13">
        <v>314</v>
      </c>
      <c r="N639" s="13">
        <v>4</v>
      </c>
      <c r="O639" s="15"/>
      <c r="P639" s="6">
        <v>40953.850127314814</v>
      </c>
      <c r="Q639" s="16" t="s">
        <v>527</v>
      </c>
      <c r="R639" s="17" t="s">
        <v>2262</v>
      </c>
      <c r="S639" s="12"/>
      <c r="T639" s="12"/>
      <c r="U639" s="10" t="str">
        <f>HYPERLINK("https://pbs.twimg.com/profile_images/1051202944278949888/iyW3cAxh.jpg","View")</f>
        <v>View</v>
      </c>
    </row>
    <row r="640" spans="1:21" ht="51">
      <c r="A640" s="6">
        <v>43422.81658564815</v>
      </c>
      <c r="B640" s="7" t="str">
        <f>HYPERLINK("https://twitter.com/Santi_ABASCAL","@Santi_ABASCAL")</f>
        <v>@Santi_ABASCAL</v>
      </c>
      <c r="C640" s="8" t="s">
        <v>182</v>
      </c>
      <c r="D640" s="9" t="s">
        <v>2726</v>
      </c>
      <c r="E640" s="10" t="str">
        <f>HYPERLINK("https://twitter.com/Santi_ABASCAL/status/1064225700222246912","1064225700222246912")</f>
        <v>1064225700222246912</v>
      </c>
      <c r="F640" s="12"/>
      <c r="G640" s="11" t="s">
        <v>1890</v>
      </c>
      <c r="H640" s="12"/>
      <c r="I640" s="13">
        <v>1726</v>
      </c>
      <c r="J640" s="13">
        <v>4058</v>
      </c>
      <c r="K640" s="14" t="str">
        <f t="shared" si="208"/>
        <v>Twitter for Android</v>
      </c>
      <c r="L640" s="13">
        <v>117602</v>
      </c>
      <c r="M640" s="13">
        <v>3896</v>
      </c>
      <c r="N640" s="13">
        <v>915</v>
      </c>
      <c r="O640" s="23" t="s">
        <v>186</v>
      </c>
      <c r="P640" s="6">
        <v>40606.716446759259</v>
      </c>
      <c r="Q640" s="16" t="s">
        <v>188</v>
      </c>
      <c r="R640" s="17" t="s">
        <v>189</v>
      </c>
      <c r="S640" s="11" t="s">
        <v>190</v>
      </c>
      <c r="T640" s="12"/>
      <c r="U640" s="10" t="str">
        <f>HYPERLINK("https://pbs.twimg.com/profile_images/1010488787686879232/2CnqYKlD.jpg","View")</f>
        <v>View</v>
      </c>
    </row>
    <row r="641" spans="1:21" ht="30.6">
      <c r="A641" s="6">
        <v>43422.813402777778</v>
      </c>
      <c r="B641" s="7" t="str">
        <f>HYPERLINK("https://twitter.com/Arturo_Fsch","@Arturo_Fsch")</f>
        <v>@Arturo_Fsch</v>
      </c>
      <c r="C641" s="8" t="s">
        <v>2263</v>
      </c>
      <c r="D641" s="9" t="s">
        <v>2264</v>
      </c>
      <c r="E641" s="10" t="str">
        <f>HYPERLINK("https://twitter.com/Arturo_Fsch/status/1064224544091774977","1064224544091774977")</f>
        <v>1064224544091774977</v>
      </c>
      <c r="F641" s="12"/>
      <c r="G641" s="11" t="s">
        <v>2265</v>
      </c>
      <c r="H641" s="12"/>
      <c r="I641" s="13">
        <v>0</v>
      </c>
      <c r="J641" s="13">
        <v>0</v>
      </c>
      <c r="K641" s="14" t="str">
        <f>HYPERLINK("http://twitter.com","Twitter Web Client")</f>
        <v>Twitter Web Client</v>
      </c>
      <c r="L641" s="13">
        <v>68</v>
      </c>
      <c r="M641" s="13">
        <v>180</v>
      </c>
      <c r="N641" s="13">
        <v>0</v>
      </c>
      <c r="O641" s="15"/>
      <c r="P641" s="6">
        <v>43145.697939814811</v>
      </c>
      <c r="Q641" s="12"/>
      <c r="R641" s="17" t="s">
        <v>2266</v>
      </c>
      <c r="S641" s="12"/>
      <c r="T641" s="12"/>
      <c r="U641" s="10" t="str">
        <f>HYPERLINK("https://pbs.twimg.com/profile_images/963803317402046464/EnZQPCQy.jpg","View")</f>
        <v>View</v>
      </c>
    </row>
    <row r="642" spans="1:21" ht="40.799999999999997">
      <c r="A642" s="6">
        <v>43422.809351851851</v>
      </c>
      <c r="B642" s="7" t="str">
        <f>HYPERLINK("https://twitter.com/damigl42","@damigl42")</f>
        <v>@damigl42</v>
      </c>
      <c r="C642" s="8" t="s">
        <v>2267</v>
      </c>
      <c r="D642" s="9" t="s">
        <v>2268</v>
      </c>
      <c r="E642" s="10" t="str">
        <f>HYPERLINK("https://twitter.com/damigl42/status/1064223077184274432","1064223077184274432")</f>
        <v>1064223077184274432</v>
      </c>
      <c r="F642" s="12"/>
      <c r="G642" s="12"/>
      <c r="H642" s="12"/>
      <c r="I642" s="13">
        <v>0</v>
      </c>
      <c r="J642" s="13">
        <v>0</v>
      </c>
      <c r="K642" s="14" t="str">
        <f t="shared" ref="K642:K643" si="209">HYPERLINK("http://twitter.com/download/android","Twitter for Android")</f>
        <v>Twitter for Android</v>
      </c>
      <c r="L642" s="13">
        <v>164</v>
      </c>
      <c r="M642" s="13">
        <v>625</v>
      </c>
      <c r="N642" s="13">
        <v>0</v>
      </c>
      <c r="O642" s="15"/>
      <c r="P642" s="6">
        <v>41523.747766203705</v>
      </c>
      <c r="Q642" s="16" t="s">
        <v>66</v>
      </c>
      <c r="R642" s="17" t="s">
        <v>2269</v>
      </c>
      <c r="S642" s="12"/>
      <c r="T642" s="12"/>
      <c r="U642" s="10" t="str">
        <f>HYPERLINK("https://pbs.twimg.com/profile_images/378800000419964119/ec6ed1df91df15aec255090660e79e4f.jpeg","View")</f>
        <v>View</v>
      </c>
    </row>
    <row r="643" spans="1:21" ht="51">
      <c r="A643" s="6">
        <v>43422.809317129635</v>
      </c>
      <c r="B643" s="7" t="str">
        <f>HYPERLINK("https://twitter.com/Cardenete","@Cardenete")</f>
        <v>@Cardenete</v>
      </c>
      <c r="C643" s="8" t="s">
        <v>2270</v>
      </c>
      <c r="D643" s="9" t="s">
        <v>2271</v>
      </c>
      <c r="E643" s="10" t="str">
        <f>HYPERLINK("https://twitter.com/Cardenete/status/1064223066115452931","1064223066115452931")</f>
        <v>1064223066115452931</v>
      </c>
      <c r="F643" s="12"/>
      <c r="G643" s="12"/>
      <c r="H643" s="12"/>
      <c r="I643" s="13">
        <v>20</v>
      </c>
      <c r="J643" s="13">
        <v>51</v>
      </c>
      <c r="K643" s="14" t="str">
        <f t="shared" si="209"/>
        <v>Twitter for Android</v>
      </c>
      <c r="L643" s="13">
        <v>774</v>
      </c>
      <c r="M643" s="13">
        <v>451</v>
      </c>
      <c r="N643" s="13">
        <v>21</v>
      </c>
      <c r="O643" s="15"/>
      <c r="P643" s="6">
        <v>40055.444444444445</v>
      </c>
      <c r="Q643" s="16" t="s">
        <v>1162</v>
      </c>
      <c r="R643" s="17" t="s">
        <v>2273</v>
      </c>
      <c r="S643" s="11" t="s">
        <v>2274</v>
      </c>
      <c r="T643" s="12"/>
      <c r="U643" s="10" t="str">
        <f>HYPERLINK("https://pbs.twimg.com/profile_images/1059561854450745345/kxXdNRD-.jpg","View")</f>
        <v>View</v>
      </c>
    </row>
    <row r="644" spans="1:21" ht="20.399999999999999">
      <c r="A644" s="6">
        <v>43422.802835648152</v>
      </c>
      <c r="B644" s="7" t="str">
        <f>HYPERLINK("https://twitter.com/Desalentado1","@Desalentado1")</f>
        <v>@Desalentado1</v>
      </c>
      <c r="C644" s="8" t="s">
        <v>2735</v>
      </c>
      <c r="D644" s="9" t="s">
        <v>2736</v>
      </c>
      <c r="E644" s="10" t="str">
        <f>HYPERLINK("https://twitter.com/Desalentado1/status/1064220714952257537","1064220714952257537")</f>
        <v>1064220714952257537</v>
      </c>
      <c r="F644" s="12"/>
      <c r="G644" s="12"/>
      <c r="H644" s="12"/>
      <c r="I644" s="13">
        <v>2</v>
      </c>
      <c r="J644" s="13">
        <v>5</v>
      </c>
      <c r="K644" s="14" t="str">
        <f>HYPERLINK("http://twitter.com","Twitter Web Client")</f>
        <v>Twitter Web Client</v>
      </c>
      <c r="L644" s="13">
        <v>12396</v>
      </c>
      <c r="M644" s="13">
        <v>5154</v>
      </c>
      <c r="N644" s="13">
        <v>81</v>
      </c>
      <c r="O644" s="15"/>
      <c r="P644" s="6">
        <v>40685.779027777782</v>
      </c>
      <c r="Q644" s="16" t="s">
        <v>104</v>
      </c>
      <c r="R644" s="21"/>
      <c r="S644" s="11" t="s">
        <v>2737</v>
      </c>
      <c r="T644" s="12"/>
      <c r="U644" s="10" t="str">
        <f>HYPERLINK("https://pbs.twimg.com/profile_images/1364748076/mono19.jpg","View")</f>
        <v>View</v>
      </c>
    </row>
    <row r="645" spans="1:21" ht="71.400000000000006">
      <c r="A645" s="6">
        <v>43422.793611111112</v>
      </c>
      <c r="B645" s="7" t="str">
        <f>HYPERLINK("https://twitter.com/patente_de","@patente_de")</f>
        <v>@patente_de</v>
      </c>
      <c r="C645" s="8" t="s">
        <v>2275</v>
      </c>
      <c r="D645" s="9" t="s">
        <v>2276</v>
      </c>
      <c r="E645" s="10" t="str">
        <f>HYPERLINK("https://twitter.com/patente_de/status/1064217372863672320","1064217372863672320")</f>
        <v>1064217372863672320</v>
      </c>
      <c r="F645" s="11" t="s">
        <v>2277</v>
      </c>
      <c r="G645" s="12"/>
      <c r="H645" s="12"/>
      <c r="I645" s="13">
        <v>0</v>
      </c>
      <c r="J645" s="13">
        <v>0</v>
      </c>
      <c r="K645" s="14" t="str">
        <f t="shared" ref="K645:K652" si="210">HYPERLINK("http://twitter.com/download/android","Twitter for Android")</f>
        <v>Twitter for Android</v>
      </c>
      <c r="L645" s="13">
        <v>521</v>
      </c>
      <c r="M645" s="13">
        <v>771</v>
      </c>
      <c r="N645" s="13">
        <v>3</v>
      </c>
      <c r="O645" s="15"/>
      <c r="P645" s="6">
        <v>42864.501261574071</v>
      </c>
      <c r="Q645" s="12"/>
      <c r="R645" s="17" t="s">
        <v>2278</v>
      </c>
      <c r="S645" s="12"/>
      <c r="T645" s="12"/>
      <c r="U645" s="10" t="str">
        <f>HYPERLINK("https://pbs.twimg.com/profile_images/971998468058198019/9kAz-zD9.jpg","View")</f>
        <v>View</v>
      </c>
    </row>
    <row r="646" spans="1:21" ht="40.799999999999997">
      <c r="A646" s="6">
        <v>43422.783715277779</v>
      </c>
      <c r="B646" s="7" t="str">
        <f>HYPERLINK("https://twitter.com/itsseergii","@itsseergii")</f>
        <v>@itsseergii</v>
      </c>
      <c r="C646" s="8" t="s">
        <v>2279</v>
      </c>
      <c r="D646" s="9" t="s">
        <v>2280</v>
      </c>
      <c r="E646" s="10" t="str">
        <f>HYPERLINK("https://twitter.com/itsseergii/status/1064213786599583744","1064213786599583744")</f>
        <v>1064213786599583744</v>
      </c>
      <c r="F646" s="11" t="s">
        <v>2281</v>
      </c>
      <c r="G646" s="11" t="s">
        <v>2282</v>
      </c>
      <c r="H646" s="12"/>
      <c r="I646" s="13">
        <v>0</v>
      </c>
      <c r="J646" s="13">
        <v>0</v>
      </c>
      <c r="K646" s="14" t="str">
        <f t="shared" si="210"/>
        <v>Twitter for Android</v>
      </c>
      <c r="L646" s="13">
        <v>56</v>
      </c>
      <c r="M646" s="13">
        <v>199</v>
      </c>
      <c r="N646" s="13">
        <v>0</v>
      </c>
      <c r="O646" s="15"/>
      <c r="P646" s="6">
        <v>42497.765486111108</v>
      </c>
      <c r="Q646" s="16" t="s">
        <v>2283</v>
      </c>
      <c r="R646" s="17" t="s">
        <v>2284</v>
      </c>
      <c r="S646" s="11" t="s">
        <v>2285</v>
      </c>
      <c r="T646" s="12"/>
      <c r="U646" s="10" t="str">
        <f>HYPERLINK("https://pbs.twimg.com/profile_images/1053936032893296640/8qTimV1p.jpg","View")</f>
        <v>View</v>
      </c>
    </row>
    <row r="647" spans="1:21" ht="20.399999999999999">
      <c r="A647" s="6">
        <v>43422.783391203702</v>
      </c>
      <c r="B647" s="7" t="str">
        <f>HYPERLINK("https://twitter.com/_MiguelGuti_","@_MiguelGuti_")</f>
        <v>@_MiguelGuti_</v>
      </c>
      <c r="C647" s="8" t="s">
        <v>2742</v>
      </c>
      <c r="D647" s="9" t="s">
        <v>2743</v>
      </c>
      <c r="E647" s="10" t="str">
        <f>HYPERLINK("https://twitter.com/_MiguelGuti_/status/1064213668764835840","1064213668764835840")</f>
        <v>1064213668764835840</v>
      </c>
      <c r="F647" s="12"/>
      <c r="G647" s="12"/>
      <c r="H647" s="12"/>
      <c r="I647" s="13">
        <v>0</v>
      </c>
      <c r="J647" s="13">
        <v>2</v>
      </c>
      <c r="K647" s="14" t="str">
        <f t="shared" si="210"/>
        <v>Twitter for Android</v>
      </c>
      <c r="L647" s="13">
        <v>1732</v>
      </c>
      <c r="M647" s="13">
        <v>1214</v>
      </c>
      <c r="N647" s="13">
        <v>9</v>
      </c>
      <c r="O647" s="15"/>
      <c r="P647" s="6">
        <v>40786.836099537039</v>
      </c>
      <c r="Q647" s="16" t="s">
        <v>113</v>
      </c>
      <c r="R647" s="17" t="s">
        <v>2745</v>
      </c>
      <c r="S647" s="12"/>
      <c r="T647" s="12"/>
      <c r="U647" s="10" t="str">
        <f>HYPERLINK("https://pbs.twimg.com/profile_images/1053824105248636928/qqfZ_h2q.jpg","View")</f>
        <v>View</v>
      </c>
    </row>
    <row r="648" spans="1:21" ht="30.6">
      <c r="A648" s="6">
        <v>43422.783136574071</v>
      </c>
      <c r="B648" s="7" t="str">
        <f>HYPERLINK("https://twitter.com/Sr_Elindio","@Sr_Elindio")</f>
        <v>@Sr_Elindio</v>
      </c>
      <c r="C648" s="8" t="s">
        <v>2747</v>
      </c>
      <c r="D648" s="9" t="s">
        <v>2748</v>
      </c>
      <c r="E648" s="10" t="str">
        <f>HYPERLINK("https://twitter.com/Sr_Elindio/status/1064213575487627266","1064213575487627266")</f>
        <v>1064213575487627266</v>
      </c>
      <c r="F648" s="12"/>
      <c r="G648" s="12"/>
      <c r="H648" s="12"/>
      <c r="I648" s="13">
        <v>0</v>
      </c>
      <c r="J648" s="13">
        <v>0</v>
      </c>
      <c r="K648" s="14" t="str">
        <f t="shared" si="210"/>
        <v>Twitter for Android</v>
      </c>
      <c r="L648" s="13">
        <v>58</v>
      </c>
      <c r="M648" s="13">
        <v>65</v>
      </c>
      <c r="N648" s="13">
        <v>0</v>
      </c>
      <c r="O648" s="15"/>
      <c r="P648" s="6">
        <v>42365.836805555555</v>
      </c>
      <c r="Q648" s="16" t="s">
        <v>2749</v>
      </c>
      <c r="R648" s="17" t="s">
        <v>2750</v>
      </c>
      <c r="S648" s="12"/>
      <c r="T648" s="12"/>
      <c r="U648" s="10" t="str">
        <f>HYPERLINK("https://pbs.twimg.com/profile_images/711020031660978181/cBBv5R7_.jpg","View")</f>
        <v>View</v>
      </c>
    </row>
    <row r="649" spans="1:21" ht="51">
      <c r="A649" s="6">
        <v>43422.777314814812</v>
      </c>
      <c r="B649" s="7" t="str">
        <f>HYPERLINK("https://twitter.com/vallekas2012","@vallekas2012")</f>
        <v>@vallekas2012</v>
      </c>
      <c r="C649" s="8" t="s">
        <v>2286</v>
      </c>
      <c r="D649" s="9" t="s">
        <v>2287</v>
      </c>
      <c r="E649" s="10" t="str">
        <f>HYPERLINK("https://twitter.com/vallekas2012/status/1064211465966624768","1064211465966624768")</f>
        <v>1064211465966624768</v>
      </c>
      <c r="F649" s="12"/>
      <c r="G649" s="11" t="s">
        <v>2288</v>
      </c>
      <c r="H649" s="12"/>
      <c r="I649" s="13">
        <v>0</v>
      </c>
      <c r="J649" s="13">
        <v>0</v>
      </c>
      <c r="K649" s="14" t="str">
        <f t="shared" si="210"/>
        <v>Twitter for Android</v>
      </c>
      <c r="L649" s="13">
        <v>114</v>
      </c>
      <c r="M649" s="13">
        <v>202</v>
      </c>
      <c r="N649" s="13">
        <v>2</v>
      </c>
      <c r="O649" s="15"/>
      <c r="P649" s="6">
        <v>41057.554594907408</v>
      </c>
      <c r="Q649" s="12"/>
      <c r="R649" s="17" t="s">
        <v>2289</v>
      </c>
      <c r="S649" s="12"/>
      <c r="T649" s="12"/>
      <c r="U649" s="10" t="str">
        <f>HYPERLINK("https://pbs.twimg.com/profile_images/1064853950468378624/lKYMFEhp.jpg","View")</f>
        <v>View</v>
      </c>
    </row>
    <row r="650" spans="1:21" ht="51">
      <c r="A650" s="6">
        <v>43422.759456018517</v>
      </c>
      <c r="B650" s="7" t="str">
        <f>HYPERLINK("https://twitter.com/AzoteCasta","@AzoteCasta")</f>
        <v>@AzoteCasta</v>
      </c>
      <c r="C650" s="8" t="s">
        <v>117</v>
      </c>
      <c r="D650" s="9" t="s">
        <v>2292</v>
      </c>
      <c r="E650" s="10" t="str">
        <f>HYPERLINK("https://twitter.com/AzoteCasta/status/1064204997196464128","1064204997196464128")</f>
        <v>1064204997196464128</v>
      </c>
      <c r="F650" s="11" t="s">
        <v>2293</v>
      </c>
      <c r="G650" s="12"/>
      <c r="H650" s="12"/>
      <c r="I650" s="13">
        <v>7</v>
      </c>
      <c r="J650" s="13">
        <v>4</v>
      </c>
      <c r="K650" s="14" t="str">
        <f t="shared" si="210"/>
        <v>Twitter for Android</v>
      </c>
      <c r="L650" s="13">
        <v>3638</v>
      </c>
      <c r="M650" s="13">
        <v>2743</v>
      </c>
      <c r="N650" s="13">
        <v>63</v>
      </c>
      <c r="O650" s="15"/>
      <c r="P650" s="6">
        <v>41441.048819444448</v>
      </c>
      <c r="Q650" s="16" t="s">
        <v>66</v>
      </c>
      <c r="R650" s="17" t="s">
        <v>120</v>
      </c>
      <c r="S650" s="12"/>
      <c r="T650" s="12"/>
      <c r="U650" s="10" t="str">
        <f>HYPERLINK("https://pbs.twimg.com/profile_images/1037474236691042309/9t-T1AZv.jpg","View")</f>
        <v>View</v>
      </c>
    </row>
    <row r="651" spans="1:21" ht="61.2">
      <c r="A651" s="6">
        <v>43422.757523148146</v>
      </c>
      <c r="B651" s="7" t="str">
        <f>HYPERLINK("https://twitter.com/carlos_vox_val","@carlos_vox_val")</f>
        <v>@carlos_vox_val</v>
      </c>
      <c r="C651" s="8" t="s">
        <v>2297</v>
      </c>
      <c r="D651" s="9" t="s">
        <v>2298</v>
      </c>
      <c r="E651" s="10" t="str">
        <f>HYPERLINK("https://twitter.com/carlos_vox_val/status/1064204293895528449","1064204293895528449")</f>
        <v>1064204293895528449</v>
      </c>
      <c r="F651" s="12"/>
      <c r="G651" s="11" t="s">
        <v>2299</v>
      </c>
      <c r="H651" s="12"/>
      <c r="I651" s="13">
        <v>8</v>
      </c>
      <c r="J651" s="13">
        <v>11</v>
      </c>
      <c r="K651" s="14" t="str">
        <f t="shared" si="210"/>
        <v>Twitter for Android</v>
      </c>
      <c r="L651" s="13">
        <v>217</v>
      </c>
      <c r="M651" s="13">
        <v>186</v>
      </c>
      <c r="N651" s="13">
        <v>2</v>
      </c>
      <c r="O651" s="15"/>
      <c r="P651" s="6">
        <v>43220.896608796298</v>
      </c>
      <c r="Q651" s="12"/>
      <c r="R651" s="17" t="s">
        <v>2300</v>
      </c>
      <c r="S651" s="12"/>
      <c r="T651" s="12"/>
      <c r="U651" s="10" t="str">
        <f>HYPERLINK("https://pbs.twimg.com/profile_images/991039368080093184/bq0Mvjbh.jpg","View")</f>
        <v>View</v>
      </c>
    </row>
    <row r="652" spans="1:21" ht="51">
      <c r="A652" s="6">
        <v>43422.7575</v>
      </c>
      <c r="B652" s="7" t="str">
        <f>HYPERLINK("https://twitter.com/JosGOSALBEZ1","@JosGOSALBEZ1")</f>
        <v>@JosGOSALBEZ1</v>
      </c>
      <c r="C652" s="8" t="s">
        <v>2301</v>
      </c>
      <c r="D652" s="9" t="s">
        <v>2302</v>
      </c>
      <c r="E652" s="10" t="str">
        <f>HYPERLINK("https://twitter.com/JosGOSALBEZ1/status/1064204285645414400","1064204285645414400")</f>
        <v>1064204285645414400</v>
      </c>
      <c r="F652" s="11" t="s">
        <v>2303</v>
      </c>
      <c r="G652" s="12"/>
      <c r="H652" s="12"/>
      <c r="I652" s="13">
        <v>12</v>
      </c>
      <c r="J652" s="13">
        <v>18</v>
      </c>
      <c r="K652" s="14" t="str">
        <f t="shared" si="210"/>
        <v>Twitter for Android</v>
      </c>
      <c r="L652" s="13">
        <v>69</v>
      </c>
      <c r="M652" s="13">
        <v>37</v>
      </c>
      <c r="N652" s="13">
        <v>0</v>
      </c>
      <c r="O652" s="15"/>
      <c r="P652" s="6">
        <v>43380.871759259258</v>
      </c>
      <c r="Q652" s="12"/>
      <c r="R652" s="17" t="s">
        <v>2304</v>
      </c>
      <c r="S652" s="12"/>
      <c r="T652" s="12"/>
      <c r="U652" s="10" t="str">
        <f>HYPERLINK("https://pbs.twimg.com/profile_images/1049320152691556355/-BVmVU_Q.jpg","View")</f>
        <v>View</v>
      </c>
    </row>
    <row r="653" spans="1:21" ht="51">
      <c r="A653" s="6">
        <v>43422.754745370374</v>
      </c>
      <c r="B653" s="7" t="str">
        <f>HYPERLINK("https://twitter.com/AlvaroGomez99","@AlvaroGomez99")</f>
        <v>@AlvaroGomez99</v>
      </c>
      <c r="C653" s="8" t="s">
        <v>2305</v>
      </c>
      <c r="D653" s="9" t="s">
        <v>2306</v>
      </c>
      <c r="E653" s="10" t="str">
        <f>HYPERLINK("https://twitter.com/AlvaroGomez99/status/1064203287921131522","1064203287921131522")</f>
        <v>1064203287921131522</v>
      </c>
      <c r="F653" s="12"/>
      <c r="G653" s="12"/>
      <c r="H653" s="12"/>
      <c r="I653" s="13">
        <v>0</v>
      </c>
      <c r="J653" s="13">
        <v>0</v>
      </c>
      <c r="K653" s="14" t="str">
        <f>HYPERLINK("http://twitter.com/#!/download/ipad","Twitter for iPad")</f>
        <v>Twitter for iPad</v>
      </c>
      <c r="L653" s="13">
        <v>265</v>
      </c>
      <c r="M653" s="13">
        <v>57</v>
      </c>
      <c r="N653" s="13">
        <v>0</v>
      </c>
      <c r="O653" s="15"/>
      <c r="P653" s="6">
        <v>40718.518449074072</v>
      </c>
      <c r="Q653" s="16" t="s">
        <v>644</v>
      </c>
      <c r="R653" s="17" t="s">
        <v>2307</v>
      </c>
      <c r="S653" s="12"/>
      <c r="T653" s="12"/>
      <c r="U653" s="10" t="str">
        <f>HYPERLINK("https://pbs.twimg.com/profile_images/1064203771524325385/gYWHv2BQ.jpg","View")</f>
        <v>View</v>
      </c>
    </row>
    <row r="654" spans="1:21" ht="61.2">
      <c r="A654" s="6">
        <v>43422.742974537032</v>
      </c>
      <c r="B654" s="7" t="str">
        <f>HYPERLINK("https://twitter.com/VoxCordoba","@VoxCordoba")</f>
        <v>@VoxCordoba</v>
      </c>
      <c r="C654" s="8" t="s">
        <v>518</v>
      </c>
      <c r="D654" s="9" t="s">
        <v>2308</v>
      </c>
      <c r="E654" s="10" t="str">
        <f>HYPERLINK("https://twitter.com/VoxCordoba/status/1064199023962271745","1064199023962271745")</f>
        <v>1064199023962271745</v>
      </c>
      <c r="F654" s="12"/>
      <c r="G654" s="11" t="s">
        <v>2309</v>
      </c>
      <c r="H654" s="12"/>
      <c r="I654" s="13">
        <v>284</v>
      </c>
      <c r="J654" s="13">
        <v>526</v>
      </c>
      <c r="K654" s="14" t="str">
        <f t="shared" ref="K654:K656" si="211">HYPERLINK("http://twitter.com/download/android","Twitter for Android")</f>
        <v>Twitter for Android</v>
      </c>
      <c r="L654" s="13">
        <v>3490</v>
      </c>
      <c r="M654" s="13">
        <v>419</v>
      </c>
      <c r="N654" s="13">
        <v>20</v>
      </c>
      <c r="O654" s="15"/>
      <c r="P654" s="6">
        <v>41702.963472222225</v>
      </c>
      <c r="Q654" s="16" t="s">
        <v>521</v>
      </c>
      <c r="R654" s="17" t="s">
        <v>522</v>
      </c>
      <c r="S654" s="11" t="s">
        <v>523</v>
      </c>
      <c r="T654" s="12"/>
      <c r="U654" s="10" t="str">
        <f>HYPERLINK("https://pbs.twimg.com/profile_images/689560110104993793/LDhy_1s_.jpg","View")</f>
        <v>View</v>
      </c>
    </row>
    <row r="655" spans="1:21" ht="51">
      <c r="A655" s="6">
        <v>43422.742719907408</v>
      </c>
      <c r="B655" s="7" t="str">
        <f>HYPERLINK("https://twitter.com/pilarwillpi","@pilarwillpi")</f>
        <v>@pilarwillpi</v>
      </c>
      <c r="C655" s="8" t="s">
        <v>2310</v>
      </c>
      <c r="D655" s="9" t="s">
        <v>2311</v>
      </c>
      <c r="E655" s="10" t="str">
        <f>HYPERLINK("https://twitter.com/pilarwillpi/status/1064198928948781057","1064198928948781057")</f>
        <v>1064198928948781057</v>
      </c>
      <c r="F655" s="12"/>
      <c r="G655" s="11" t="s">
        <v>2312</v>
      </c>
      <c r="H655" s="12"/>
      <c r="I655" s="13">
        <v>44</v>
      </c>
      <c r="J655" s="13">
        <v>135</v>
      </c>
      <c r="K655" s="14" t="str">
        <f t="shared" si="211"/>
        <v>Twitter for Android</v>
      </c>
      <c r="L655" s="13">
        <v>4089</v>
      </c>
      <c r="M655" s="13">
        <v>2343</v>
      </c>
      <c r="N655" s="13">
        <v>51</v>
      </c>
      <c r="O655" s="15"/>
      <c r="P655" s="6">
        <v>40566.858298611114</v>
      </c>
      <c r="Q655" s="16" t="s">
        <v>145</v>
      </c>
      <c r="R655" s="17" t="s">
        <v>2313</v>
      </c>
      <c r="S655" s="12"/>
      <c r="T655" s="12"/>
      <c r="U655" s="10" t="str">
        <f>HYPERLINK("https://pbs.twimg.com/profile_images/1057793823814889473/zeoHIX9b.jpg","View")</f>
        <v>View</v>
      </c>
    </row>
    <row r="656" spans="1:21" ht="61.2">
      <c r="A656" s="6">
        <v>43422.74217592593</v>
      </c>
      <c r="B656" s="7" t="str">
        <f>HYPERLINK("https://twitter.com/AguilarZ50","@AguilarZ50")</f>
        <v>@AguilarZ50</v>
      </c>
      <c r="C656" s="8" t="s">
        <v>2314</v>
      </c>
      <c r="D656" s="9" t="s">
        <v>2315</v>
      </c>
      <c r="E656" s="10" t="str">
        <f>HYPERLINK("https://twitter.com/AguilarZ50/status/1064198733288652801","1064198733288652801")</f>
        <v>1064198733288652801</v>
      </c>
      <c r="F656" s="12"/>
      <c r="G656" s="11" t="s">
        <v>2316</v>
      </c>
      <c r="H656" s="12"/>
      <c r="I656" s="13">
        <v>6</v>
      </c>
      <c r="J656" s="13">
        <v>6</v>
      </c>
      <c r="K656" s="14" t="str">
        <f t="shared" si="211"/>
        <v>Twitter for Android</v>
      </c>
      <c r="L656" s="13">
        <v>352</v>
      </c>
      <c r="M656" s="13">
        <v>97</v>
      </c>
      <c r="N656" s="13">
        <v>0</v>
      </c>
      <c r="O656" s="15"/>
      <c r="P656" s="6">
        <v>43017.588738425926</v>
      </c>
      <c r="Q656" s="12"/>
      <c r="R656" s="17" t="s">
        <v>2317</v>
      </c>
      <c r="S656" s="12"/>
      <c r="T656" s="12"/>
      <c r="U656" s="10" t="str">
        <f>HYPERLINK("https://pbs.twimg.com/profile_images/964418946676924418/ltohXwUw.jpg","View")</f>
        <v>View</v>
      </c>
    </row>
    <row r="657" spans="1:21" ht="61.2">
      <c r="A657" s="6">
        <v>43422.731458333335</v>
      </c>
      <c r="B657" s="7" t="str">
        <f>HYPERLINK("https://twitter.com/Antoni_nono","@Antoni_nono")</f>
        <v>@Antoni_nono</v>
      </c>
      <c r="C657" s="8" t="s">
        <v>2318</v>
      </c>
      <c r="D657" s="9" t="s">
        <v>2319</v>
      </c>
      <c r="E657" s="10" t="str">
        <f>HYPERLINK("https://twitter.com/Antoni_nono/status/1064194848025178113","1064194848025178113")</f>
        <v>1064194848025178113</v>
      </c>
      <c r="F657" s="11" t="s">
        <v>2320</v>
      </c>
      <c r="G657" s="11" t="s">
        <v>2321</v>
      </c>
      <c r="H657" s="12"/>
      <c r="I657" s="13">
        <v>0</v>
      </c>
      <c r="J657" s="13">
        <v>0</v>
      </c>
      <c r="K657" s="14" t="str">
        <f>HYPERLINK("http://twitter.com/download/iphone","Twitter for iPhone")</f>
        <v>Twitter for iPhone</v>
      </c>
      <c r="L657" s="13">
        <v>374</v>
      </c>
      <c r="M657" s="13">
        <v>301</v>
      </c>
      <c r="N657" s="13">
        <v>3</v>
      </c>
      <c r="O657" s="15"/>
      <c r="P657" s="6">
        <v>40764.01771990741</v>
      </c>
      <c r="Q657" s="12"/>
      <c r="R657" s="17" t="s">
        <v>2322</v>
      </c>
      <c r="S657" s="12"/>
      <c r="T657" s="12"/>
      <c r="U657" s="10" t="str">
        <f>HYPERLINK("https://pbs.twimg.com/profile_images/1065970363094523904/tRyameCT.jpg","View")</f>
        <v>View</v>
      </c>
    </row>
    <row r="658" spans="1:21" ht="51">
      <c r="A658" s="6">
        <v>43422.728668981479</v>
      </c>
      <c r="B658" s="7" t="str">
        <f>HYPERLINK("https://twitter.com/DavidParejo97","@DavidParejo97")</f>
        <v>@DavidParejo97</v>
      </c>
      <c r="C658" s="8" t="s">
        <v>2323</v>
      </c>
      <c r="D658" s="9" t="s">
        <v>2324</v>
      </c>
      <c r="E658" s="10" t="str">
        <f>HYPERLINK("https://twitter.com/DavidParejo97/status/1064193837596377088","1064193837596377088")</f>
        <v>1064193837596377088</v>
      </c>
      <c r="F658" s="12"/>
      <c r="G658" s="12"/>
      <c r="H658" s="12"/>
      <c r="I658" s="13">
        <v>1</v>
      </c>
      <c r="J658" s="13">
        <v>0</v>
      </c>
      <c r="K658" s="14" t="str">
        <f t="shared" ref="K658:K659" si="212">HYPERLINK("http://twitter.com/download/android","Twitter for Android")</f>
        <v>Twitter for Android</v>
      </c>
      <c r="L658" s="13">
        <v>555</v>
      </c>
      <c r="M658" s="13">
        <v>377</v>
      </c>
      <c r="N658" s="13">
        <v>5</v>
      </c>
      <c r="O658" s="15"/>
      <c r="P658" s="6">
        <v>40613.464884259258</v>
      </c>
      <c r="Q658" s="16" t="s">
        <v>2325</v>
      </c>
      <c r="R658" s="17" t="s">
        <v>2326</v>
      </c>
      <c r="S658" s="11" t="s">
        <v>2327</v>
      </c>
      <c r="T658" s="12"/>
      <c r="U658" s="10" t="str">
        <f>HYPERLINK("https://pbs.twimg.com/profile_images/921109070106546176/8k5IM-Za.jpg","View")</f>
        <v>View</v>
      </c>
    </row>
    <row r="659" spans="1:21" ht="71.400000000000006">
      <c r="A659" s="6">
        <v>43422.723078703704</v>
      </c>
      <c r="B659" s="7" t="str">
        <f>HYPERLINK("https://twitter.com/Somoslevedad","@Somoslevedad")</f>
        <v>@Somoslevedad</v>
      </c>
      <c r="C659" s="8" t="s">
        <v>2413</v>
      </c>
      <c r="D659" s="9" t="s">
        <v>2786</v>
      </c>
      <c r="E659" s="10" t="str">
        <f>HYPERLINK("https://twitter.com/Somoslevedad/status/1064191811969789958","1064191811969789958")</f>
        <v>1064191811969789958</v>
      </c>
      <c r="F659" s="11" t="s">
        <v>2787</v>
      </c>
      <c r="G659" s="12"/>
      <c r="H659" s="12"/>
      <c r="I659" s="13">
        <v>0</v>
      </c>
      <c r="J659" s="13">
        <v>0</v>
      </c>
      <c r="K659" s="14" t="str">
        <f t="shared" si="212"/>
        <v>Twitter for Android</v>
      </c>
      <c r="L659" s="13">
        <v>324</v>
      </c>
      <c r="M659" s="13">
        <v>284</v>
      </c>
      <c r="N659" s="13">
        <v>4</v>
      </c>
      <c r="O659" s="15"/>
      <c r="P659" s="6">
        <v>40620.730057870373</v>
      </c>
      <c r="Q659" s="16" t="s">
        <v>1319</v>
      </c>
      <c r="R659" s="17" t="s">
        <v>2416</v>
      </c>
      <c r="S659" s="12"/>
      <c r="T659" s="12"/>
      <c r="U659" s="10" t="str">
        <f>HYPERLINK("https://pbs.twimg.com/profile_images/918746036092456960/f0LUlnd_.jpg","View")</f>
        <v>View</v>
      </c>
    </row>
    <row r="660" spans="1:21" ht="81.599999999999994">
      <c r="A660" s="6">
        <v>43422.717442129629</v>
      </c>
      <c r="B660" s="7" t="str">
        <f>HYPERLINK("https://twitter.com/tabarniaBCN","@tabarniaBCN")</f>
        <v>@tabarniaBCN</v>
      </c>
      <c r="C660" s="8" t="s">
        <v>2328</v>
      </c>
      <c r="D660" s="9" t="s">
        <v>2329</v>
      </c>
      <c r="E660" s="10" t="str">
        <f>HYPERLINK("https://twitter.com/tabarniaBCN/status/1064189769192808449","1064189769192808449")</f>
        <v>1064189769192808449</v>
      </c>
      <c r="F660" s="11" t="s">
        <v>2330</v>
      </c>
      <c r="G660" s="11" t="s">
        <v>2331</v>
      </c>
      <c r="H660" s="12"/>
      <c r="I660" s="13">
        <v>0</v>
      </c>
      <c r="J660" s="13">
        <v>1</v>
      </c>
      <c r="K660" s="14" t="str">
        <f>HYPERLINK("https://mobile.twitter.com","Twitter Lite")</f>
        <v>Twitter Lite</v>
      </c>
      <c r="L660" s="13">
        <v>4108</v>
      </c>
      <c r="M660" s="13">
        <v>3412</v>
      </c>
      <c r="N660" s="13">
        <v>13</v>
      </c>
      <c r="O660" s="15"/>
      <c r="P660" s="6">
        <v>41381.421180555553</v>
      </c>
      <c r="Q660" s="16" t="s">
        <v>2332</v>
      </c>
      <c r="R660" s="17" t="s">
        <v>2333</v>
      </c>
      <c r="S660" s="12"/>
      <c r="T660" s="12"/>
      <c r="U660" s="10" t="str">
        <f>HYPERLINK("https://pbs.twimg.com/profile_images/1034314700148944896/xWGyZsMT.jpg","View")</f>
        <v>View</v>
      </c>
    </row>
    <row r="661" spans="1:21" ht="40.799999999999997">
      <c r="A661" s="6">
        <v>43422.710879629631</v>
      </c>
      <c r="B661" s="7" t="str">
        <f>HYPERLINK("https://twitter.com/JoseLuisLawyer","@JoseLuisLawyer")</f>
        <v>@JoseLuisLawyer</v>
      </c>
      <c r="C661" s="8" t="s">
        <v>2334</v>
      </c>
      <c r="D661" s="9" t="s">
        <v>2335</v>
      </c>
      <c r="E661" s="10" t="str">
        <f>HYPERLINK("https://twitter.com/JoseLuisLawyer/status/1064187393450930176","1064187393450930176")</f>
        <v>1064187393450930176</v>
      </c>
      <c r="F661" s="12"/>
      <c r="G661" s="11" t="s">
        <v>2336</v>
      </c>
      <c r="H661" s="12"/>
      <c r="I661" s="13">
        <v>0</v>
      </c>
      <c r="J661" s="13">
        <v>0</v>
      </c>
      <c r="K661" s="14" t="str">
        <f>HYPERLINK("http://twitter.com/download/android","Twitter for Android")</f>
        <v>Twitter for Android</v>
      </c>
      <c r="L661" s="13">
        <v>604</v>
      </c>
      <c r="M661" s="13">
        <v>1505</v>
      </c>
      <c r="N661" s="13">
        <v>7</v>
      </c>
      <c r="O661" s="15"/>
      <c r="P661" s="6">
        <v>40198.84752314815</v>
      </c>
      <c r="Q661" s="12"/>
      <c r="R661" s="17" t="s">
        <v>2337</v>
      </c>
      <c r="S661" s="12"/>
      <c r="T661" s="12"/>
      <c r="U661" s="10" t="str">
        <f>HYPERLINK("https://pbs.twimg.com/profile_images/917641942875459584/BJRuGxqh.jpg","View")</f>
        <v>View</v>
      </c>
    </row>
    <row r="662" spans="1:21" ht="30.6">
      <c r="A662" s="6">
        <v>43422.709432870368</v>
      </c>
      <c r="B662" s="7" t="str">
        <f>HYPERLINK("https://twitter.com/TerciosigloXXI","@TerciosigloXXI")</f>
        <v>@TerciosigloXXI</v>
      </c>
      <c r="C662" s="8" t="s">
        <v>2338</v>
      </c>
      <c r="D662" s="9" t="s">
        <v>2339</v>
      </c>
      <c r="E662" s="10" t="str">
        <f>HYPERLINK("https://twitter.com/TerciosigloXXI/status/1064186866331774979","1064186866331774979")</f>
        <v>1064186866331774979</v>
      </c>
      <c r="F662" s="12"/>
      <c r="G662" s="12"/>
      <c r="H662" s="12"/>
      <c r="I662" s="13">
        <v>0</v>
      </c>
      <c r="J662" s="13">
        <v>1</v>
      </c>
      <c r="K662" s="14" t="str">
        <f t="shared" ref="K662:K663" si="213">HYPERLINK("http://twitter.com/download/iphone","Twitter for iPhone")</f>
        <v>Twitter for iPhone</v>
      </c>
      <c r="L662" s="13">
        <v>169</v>
      </c>
      <c r="M662" s="13">
        <v>74</v>
      </c>
      <c r="N662" s="13">
        <v>0</v>
      </c>
      <c r="O662" s="15"/>
      <c r="P662" s="6">
        <v>43336.733506944445</v>
      </c>
      <c r="Q662" s="12"/>
      <c r="R662" s="17" t="s">
        <v>2340</v>
      </c>
      <c r="S662" s="12"/>
      <c r="T662" s="12"/>
      <c r="U662" s="10" t="str">
        <f>HYPERLINK("https://pbs.twimg.com/profile_images/1033018587085250561/e4eurmIp.jpg","View")</f>
        <v>View</v>
      </c>
    </row>
    <row r="663" spans="1:21" ht="20.399999999999999">
      <c r="A663" s="6">
        <v>43422.702835648146</v>
      </c>
      <c r="B663" s="7" t="str">
        <f>HYPERLINK("https://twitter.com/ACx102","@ACx102")</f>
        <v>@ACx102</v>
      </c>
      <c r="C663" s="8" t="s">
        <v>1894</v>
      </c>
      <c r="D663" s="9" t="s">
        <v>1895</v>
      </c>
      <c r="E663" s="10" t="str">
        <f>HYPERLINK("https://twitter.com/ACx102/status/1064184474722811905","1064184474722811905")</f>
        <v>1064184474722811905</v>
      </c>
      <c r="F663" s="11" t="s">
        <v>749</v>
      </c>
      <c r="G663" s="12"/>
      <c r="H663" s="12"/>
      <c r="I663" s="13">
        <v>1</v>
      </c>
      <c r="J663" s="13">
        <v>1</v>
      </c>
      <c r="K663" s="14" t="str">
        <f t="shared" si="213"/>
        <v>Twitter for iPhone</v>
      </c>
      <c r="L663" s="13">
        <v>721</v>
      </c>
      <c r="M663" s="13">
        <v>598</v>
      </c>
      <c r="N663" s="13">
        <v>6</v>
      </c>
      <c r="O663" s="15"/>
      <c r="P663" s="6">
        <v>40600.993831018517</v>
      </c>
      <c r="Q663" s="12"/>
      <c r="R663" s="17" t="s">
        <v>1898</v>
      </c>
      <c r="S663" s="12"/>
      <c r="T663" s="12"/>
      <c r="U663" s="10" t="str">
        <f>HYPERLINK("https://pbs.twimg.com/profile_images/993949766659780612/Jyfx7fNw.jpg","View")</f>
        <v>View</v>
      </c>
    </row>
    <row r="664" spans="1:21" ht="51">
      <c r="A664" s="6">
        <v>43422.699687500004</v>
      </c>
      <c r="B664" s="7" t="str">
        <f>HYPERLINK("https://twitter.com/Santi_ABASCAL","@Santi_ABASCAL")</f>
        <v>@Santi_ABASCAL</v>
      </c>
      <c r="C664" s="8" t="s">
        <v>182</v>
      </c>
      <c r="D664" s="9" t="s">
        <v>2810</v>
      </c>
      <c r="E664" s="10" t="str">
        <f>HYPERLINK("https://twitter.com/Santi_ABASCAL/status/1064183336254521345","1064183336254521345")</f>
        <v>1064183336254521345</v>
      </c>
      <c r="F664" s="12"/>
      <c r="G664" s="11" t="s">
        <v>2027</v>
      </c>
      <c r="H664" s="12"/>
      <c r="I664" s="13">
        <v>856</v>
      </c>
      <c r="J664" s="13">
        <v>1266</v>
      </c>
      <c r="K664" s="14" t="str">
        <f t="shared" ref="K664:K665" si="214">HYPERLINK("http://twitter.com/download/android","Twitter for Android")</f>
        <v>Twitter for Android</v>
      </c>
      <c r="L664" s="13">
        <v>117602</v>
      </c>
      <c r="M664" s="13">
        <v>3896</v>
      </c>
      <c r="N664" s="13">
        <v>915</v>
      </c>
      <c r="O664" s="23" t="s">
        <v>186</v>
      </c>
      <c r="P664" s="6">
        <v>40606.716446759259</v>
      </c>
      <c r="Q664" s="16" t="s">
        <v>188</v>
      </c>
      <c r="R664" s="17" t="s">
        <v>189</v>
      </c>
      <c r="S664" s="11" t="s">
        <v>190</v>
      </c>
      <c r="T664" s="12"/>
      <c r="U664" s="10" t="str">
        <f>HYPERLINK("https://pbs.twimg.com/profile_images/1010488787686879232/2CnqYKlD.jpg","View")</f>
        <v>View</v>
      </c>
    </row>
    <row r="665" spans="1:21" ht="71.400000000000006">
      <c r="A665" s="6">
        <v>43422.689780092594</v>
      </c>
      <c r="B665" s="7" t="str">
        <f>HYPERLINK("https://twitter.com/J_Caoba","@J_Caoba")</f>
        <v>@J_Caoba</v>
      </c>
      <c r="C665" s="8" t="s">
        <v>2341</v>
      </c>
      <c r="D665" s="9" t="s">
        <v>2342</v>
      </c>
      <c r="E665" s="10" t="str">
        <f>HYPERLINK("https://twitter.com/J_Caoba/status/1064179744265199620","1064179744265199620")</f>
        <v>1064179744265199620</v>
      </c>
      <c r="F665" s="11" t="s">
        <v>2343</v>
      </c>
      <c r="G665" s="11" t="s">
        <v>2344</v>
      </c>
      <c r="H665" s="12"/>
      <c r="I665" s="13">
        <v>0</v>
      </c>
      <c r="J665" s="13">
        <v>0</v>
      </c>
      <c r="K665" s="14" t="str">
        <f t="shared" si="214"/>
        <v>Twitter for Android</v>
      </c>
      <c r="L665" s="13">
        <v>83</v>
      </c>
      <c r="M665" s="13">
        <v>390</v>
      </c>
      <c r="N665" s="13">
        <v>0</v>
      </c>
      <c r="O665" s="15"/>
      <c r="P665" s="6">
        <v>43114.969456018516</v>
      </c>
      <c r="Q665" s="12"/>
      <c r="R665" s="17" t="s">
        <v>2345</v>
      </c>
      <c r="S665" s="12"/>
      <c r="T665" s="12"/>
      <c r="U665" s="10" t="str">
        <f>HYPERLINK("https://pbs.twimg.com/profile_images/1064214781819846656/U38ko1PJ.jpg","View")</f>
        <v>View</v>
      </c>
    </row>
    <row r="666" spans="1:21" ht="30.6">
      <c r="A666" s="6">
        <v>43422.68949074074</v>
      </c>
      <c r="B666" s="7" t="str">
        <f>HYPERLINK("https://twitter.com/TerciosigloXXI","@TerciosigloXXI")</f>
        <v>@TerciosigloXXI</v>
      </c>
      <c r="C666" s="8" t="s">
        <v>2338</v>
      </c>
      <c r="D666" s="9" t="s">
        <v>2346</v>
      </c>
      <c r="E666" s="10" t="str">
        <f>HYPERLINK("https://twitter.com/TerciosigloXXI/status/1064179641500483586","1064179641500483586")</f>
        <v>1064179641500483586</v>
      </c>
      <c r="F666" s="12"/>
      <c r="G666" s="12"/>
      <c r="H666" s="12"/>
      <c r="I666" s="13">
        <v>0</v>
      </c>
      <c r="J666" s="13">
        <v>1</v>
      </c>
      <c r="K666" s="14" t="str">
        <f t="shared" ref="K666:K667" si="215">HYPERLINK("http://twitter.com/download/iphone","Twitter for iPhone")</f>
        <v>Twitter for iPhone</v>
      </c>
      <c r="L666" s="13">
        <v>169</v>
      </c>
      <c r="M666" s="13">
        <v>74</v>
      </c>
      <c r="N666" s="13">
        <v>0</v>
      </c>
      <c r="O666" s="15"/>
      <c r="P666" s="6">
        <v>43336.733506944445</v>
      </c>
      <c r="Q666" s="12"/>
      <c r="R666" s="17" t="s">
        <v>2340</v>
      </c>
      <c r="S666" s="12"/>
      <c r="T666" s="12"/>
      <c r="U666" s="10" t="str">
        <f>HYPERLINK("https://pbs.twimg.com/profile_images/1033018587085250561/e4eurmIp.jpg","View")</f>
        <v>View</v>
      </c>
    </row>
    <row r="667" spans="1:21" ht="30.6">
      <c r="A667" s="6">
        <v>43422.685555555552</v>
      </c>
      <c r="B667" s="7" t="str">
        <f>HYPERLINK("https://twitter.com/godivita","@godivita")</f>
        <v>@godivita</v>
      </c>
      <c r="C667" s="8" t="s">
        <v>2347</v>
      </c>
      <c r="D667" s="9" t="s">
        <v>2348</v>
      </c>
      <c r="E667" s="10" t="str">
        <f>HYPERLINK("https://twitter.com/godivita/status/1064178214799593472","1064178214799593472")</f>
        <v>1064178214799593472</v>
      </c>
      <c r="F667" s="12"/>
      <c r="G667" s="12"/>
      <c r="H667" s="12"/>
      <c r="I667" s="13">
        <v>0</v>
      </c>
      <c r="J667" s="13">
        <v>0</v>
      </c>
      <c r="K667" s="14" t="str">
        <f t="shared" si="215"/>
        <v>Twitter for iPhone</v>
      </c>
      <c r="L667" s="13">
        <v>65</v>
      </c>
      <c r="M667" s="13">
        <v>103</v>
      </c>
      <c r="N667" s="13">
        <v>0</v>
      </c>
      <c r="O667" s="15"/>
      <c r="P667" s="6">
        <v>41293.531817129631</v>
      </c>
      <c r="Q667" s="12"/>
      <c r="R667" s="21"/>
      <c r="S667" s="12"/>
      <c r="T667" s="12"/>
      <c r="U667" s="10" t="str">
        <f>HYPERLINK("https://pbs.twimg.com/profile_images/1060810144668413952/uIxAbbzj.jpg","View")</f>
        <v>View</v>
      </c>
    </row>
    <row r="668" spans="1:21" ht="51">
      <c r="A668" s="6">
        <v>43422.682581018518</v>
      </c>
      <c r="B668" s="7" t="str">
        <f>HYPERLINK("https://twitter.com/alavruz","@alavruz")</f>
        <v>@alavruz</v>
      </c>
      <c r="C668" s="8" t="s">
        <v>2354</v>
      </c>
      <c r="D668" s="9" t="s">
        <v>2355</v>
      </c>
      <c r="E668" s="10" t="str">
        <f>HYPERLINK("https://twitter.com/alavruz/status/1064177137396133888","1064177137396133888")</f>
        <v>1064177137396133888</v>
      </c>
      <c r="F668" s="12"/>
      <c r="G668" s="12"/>
      <c r="H668" s="12"/>
      <c r="I668" s="13">
        <v>0</v>
      </c>
      <c r="J668" s="13">
        <v>1</v>
      </c>
      <c r="K668" s="14" t="str">
        <f t="shared" ref="K668:K676" si="216">HYPERLINK("http://twitter.com/download/android","Twitter for Android")</f>
        <v>Twitter for Android</v>
      </c>
      <c r="L668" s="13">
        <v>114</v>
      </c>
      <c r="M668" s="13">
        <v>83</v>
      </c>
      <c r="N668" s="13">
        <v>2</v>
      </c>
      <c r="O668" s="15"/>
      <c r="P668" s="6">
        <v>40391.615648148145</v>
      </c>
      <c r="Q668" s="16" t="s">
        <v>66</v>
      </c>
      <c r="R668" s="17" t="s">
        <v>2357</v>
      </c>
      <c r="S668" s="12"/>
      <c r="T668" s="12"/>
      <c r="U668" s="10" t="str">
        <f>HYPERLINK("https://pbs.twimg.com/profile_images/1064131720897798144/R2lvbUIR.jpg","View")</f>
        <v>View</v>
      </c>
    </row>
    <row r="669" spans="1:21" ht="40.799999999999997">
      <c r="A669" s="6">
        <v>43422.681724537033</v>
      </c>
      <c r="B669" s="7" t="str">
        <f>HYPERLINK("https://twitter.com/JosGOSALBEZ1","@JosGOSALBEZ1")</f>
        <v>@JosGOSALBEZ1</v>
      </c>
      <c r="C669" s="8" t="s">
        <v>2301</v>
      </c>
      <c r="D669" s="9" t="s">
        <v>2358</v>
      </c>
      <c r="E669" s="10" t="str">
        <f>HYPERLINK("https://twitter.com/JosGOSALBEZ1/status/1064176825457393664","1064176825457393664")</f>
        <v>1064176825457393664</v>
      </c>
      <c r="F669" s="11" t="s">
        <v>2359</v>
      </c>
      <c r="G669" s="12"/>
      <c r="H669" s="12"/>
      <c r="I669" s="13">
        <v>0</v>
      </c>
      <c r="J669" s="13">
        <v>0</v>
      </c>
      <c r="K669" s="14" t="str">
        <f t="shared" si="216"/>
        <v>Twitter for Android</v>
      </c>
      <c r="L669" s="13">
        <v>69</v>
      </c>
      <c r="M669" s="13">
        <v>37</v>
      </c>
      <c r="N669" s="13">
        <v>0</v>
      </c>
      <c r="O669" s="15"/>
      <c r="P669" s="6">
        <v>43380.871759259258</v>
      </c>
      <c r="Q669" s="12"/>
      <c r="R669" s="17" t="s">
        <v>2304</v>
      </c>
      <c r="S669" s="12"/>
      <c r="T669" s="12"/>
      <c r="U669" s="10" t="str">
        <f>HYPERLINK("https://pbs.twimg.com/profile_images/1049320152691556355/-BVmVU_Q.jpg","View")</f>
        <v>View</v>
      </c>
    </row>
    <row r="670" spans="1:21" ht="81.599999999999994">
      <c r="A670" s="6">
        <v>43422.674178240741</v>
      </c>
      <c r="B670" s="7" t="str">
        <f>HYPERLINK("https://twitter.com/xatriaxoutlook1","@xatriaxoutlook1")</f>
        <v>@xatriaxoutlook1</v>
      </c>
      <c r="C670" s="8" t="s">
        <v>2830</v>
      </c>
      <c r="D670" s="9" t="s">
        <v>2832</v>
      </c>
      <c r="E670" s="10" t="str">
        <f>HYPERLINK("https://twitter.com/xatriaxoutlook1/status/1064174090209112065","1064174090209112065")</f>
        <v>1064174090209112065</v>
      </c>
      <c r="F670" s="11" t="s">
        <v>2833</v>
      </c>
      <c r="G670" s="12"/>
      <c r="H670" s="12"/>
      <c r="I670" s="13">
        <v>0</v>
      </c>
      <c r="J670" s="13">
        <v>1</v>
      </c>
      <c r="K670" s="14" t="str">
        <f t="shared" si="216"/>
        <v>Twitter for Android</v>
      </c>
      <c r="L670" s="13">
        <v>132</v>
      </c>
      <c r="M670" s="13">
        <v>177</v>
      </c>
      <c r="N670" s="13">
        <v>0</v>
      </c>
      <c r="O670" s="15"/>
      <c r="P670" s="6">
        <v>43215.992106481484</v>
      </c>
      <c r="Q670" s="12"/>
      <c r="R670" s="17" t="s">
        <v>1748</v>
      </c>
      <c r="S670" s="12"/>
      <c r="T670" s="12"/>
      <c r="U670" s="10" t="str">
        <f>HYPERLINK("https://pbs.twimg.com/profile_images/990327688014520321/s09VNaCN.jpg","View")</f>
        <v>View</v>
      </c>
    </row>
    <row r="671" spans="1:21" ht="30.6">
      <c r="A671" s="6">
        <v>43422.672476851847</v>
      </c>
      <c r="B671" s="7" t="str">
        <f>HYPERLINK("https://twitter.com/lunadebenidorm","@lunadebenidorm")</f>
        <v>@lunadebenidorm</v>
      </c>
      <c r="C671" s="8" t="s">
        <v>106</v>
      </c>
      <c r="D671" s="9" t="s">
        <v>2360</v>
      </c>
      <c r="E671" s="10" t="str">
        <f>HYPERLINK("https://twitter.com/lunadebenidorm/status/1064173475747778560","1064173475747778560")</f>
        <v>1064173475747778560</v>
      </c>
      <c r="F671" s="12"/>
      <c r="G671" s="11" t="s">
        <v>2361</v>
      </c>
      <c r="H671" s="12"/>
      <c r="I671" s="13">
        <v>0</v>
      </c>
      <c r="J671" s="13">
        <v>2</v>
      </c>
      <c r="K671" s="14" t="str">
        <f t="shared" si="216"/>
        <v>Twitter for Android</v>
      </c>
      <c r="L671" s="13">
        <v>3991</v>
      </c>
      <c r="M671" s="13">
        <v>3978</v>
      </c>
      <c r="N671" s="13">
        <v>79</v>
      </c>
      <c r="O671" s="15"/>
      <c r="P671" s="6">
        <v>41461.81186342593</v>
      </c>
      <c r="Q671" s="12"/>
      <c r="R671" s="17" t="s">
        <v>108</v>
      </c>
      <c r="S671" s="12"/>
      <c r="T671" s="12"/>
      <c r="U671" s="10" t="str">
        <f>HYPERLINK("https://pbs.twimg.com/profile_images/1061229593758257153/rePCQt08.jpg","View")</f>
        <v>View</v>
      </c>
    </row>
    <row r="672" spans="1:21" ht="51">
      <c r="A672" s="6">
        <v>43422.667256944449</v>
      </c>
      <c r="B672" s="7" t="str">
        <f>HYPERLINK("https://twitter.com/maximors45","@maximors45")</f>
        <v>@maximors45</v>
      </c>
      <c r="C672" s="8" t="s">
        <v>352</v>
      </c>
      <c r="D672" s="9" t="s">
        <v>2364</v>
      </c>
      <c r="E672" s="10" t="str">
        <f>HYPERLINK("https://twitter.com/maximors45/status/1064171581642027009","1064171581642027009")</f>
        <v>1064171581642027009</v>
      </c>
      <c r="F672" s="11" t="s">
        <v>2365</v>
      </c>
      <c r="G672" s="11" t="s">
        <v>2366</v>
      </c>
      <c r="H672" s="12"/>
      <c r="I672" s="13">
        <v>0</v>
      </c>
      <c r="J672" s="13">
        <v>0</v>
      </c>
      <c r="K672" s="14" t="str">
        <f t="shared" si="216"/>
        <v>Twitter for Android</v>
      </c>
      <c r="L672" s="13">
        <v>7321</v>
      </c>
      <c r="M672" s="13">
        <v>6287</v>
      </c>
      <c r="N672" s="13">
        <v>212</v>
      </c>
      <c r="O672" s="15"/>
      <c r="P672" s="6">
        <v>41713.777592592596</v>
      </c>
      <c r="Q672" s="16" t="s">
        <v>355</v>
      </c>
      <c r="R672" s="17" t="s">
        <v>356</v>
      </c>
      <c r="S672" s="12"/>
      <c r="T672" s="12"/>
      <c r="U672" s="10" t="str">
        <f>HYPERLINK("https://pbs.twimg.com/profile_images/1063386537101012998/36434Wof.jpg","View")</f>
        <v>View</v>
      </c>
    </row>
    <row r="673" spans="1:21" ht="40.799999999999997">
      <c r="A673" s="6">
        <v>43422.664618055554</v>
      </c>
      <c r="B673" s="7" t="str">
        <f>HYPERLINK("https://twitter.com/IvanZDRK","@IvanZDRK")</f>
        <v>@IvanZDRK</v>
      </c>
      <c r="C673" s="8" t="s">
        <v>2841</v>
      </c>
      <c r="D673" s="9" t="s">
        <v>2842</v>
      </c>
      <c r="E673" s="10" t="str">
        <f>HYPERLINK("https://twitter.com/IvanZDRK/status/1064170629111431168","1064170629111431168")</f>
        <v>1064170629111431168</v>
      </c>
      <c r="F673" s="11" t="s">
        <v>2236</v>
      </c>
      <c r="G673" s="11" t="s">
        <v>2237</v>
      </c>
      <c r="H673" s="12"/>
      <c r="I673" s="13">
        <v>2</v>
      </c>
      <c r="J673" s="13">
        <v>5</v>
      </c>
      <c r="K673" s="14" t="str">
        <f t="shared" si="216"/>
        <v>Twitter for Android</v>
      </c>
      <c r="L673" s="13">
        <v>80</v>
      </c>
      <c r="M673" s="13">
        <v>287</v>
      </c>
      <c r="N673" s="13">
        <v>1</v>
      </c>
      <c r="O673" s="15"/>
      <c r="P673" s="6">
        <v>41499.575682870374</v>
      </c>
      <c r="Q673" s="12"/>
      <c r="R673" s="17" t="s">
        <v>2843</v>
      </c>
      <c r="S673" s="11" t="s">
        <v>2844</v>
      </c>
      <c r="T673" s="12"/>
      <c r="U673" s="10" t="str">
        <f>HYPERLINK("https://pbs.twimg.com/profile_images/1058824444196610050/VAxNR5Ih.jpg","View")</f>
        <v>View</v>
      </c>
    </row>
    <row r="674" spans="1:21" ht="30.6">
      <c r="A674" s="6">
        <v>43422.662523148145</v>
      </c>
      <c r="B674" s="7" t="str">
        <f>HYPERLINK("https://twitter.com/JDeGonzalo","@JDeGonzalo")</f>
        <v>@JDeGonzalo</v>
      </c>
      <c r="C674" s="8" t="s">
        <v>2367</v>
      </c>
      <c r="D674" s="9" t="s">
        <v>2368</v>
      </c>
      <c r="E674" s="10" t="str">
        <f>HYPERLINK("https://twitter.com/JDeGonzalo/status/1064169866322690048","1064169866322690048")</f>
        <v>1064169866322690048</v>
      </c>
      <c r="F674" s="12"/>
      <c r="G674" s="11" t="s">
        <v>2369</v>
      </c>
      <c r="H674" s="12"/>
      <c r="I674" s="13">
        <v>0</v>
      </c>
      <c r="J674" s="13">
        <v>1</v>
      </c>
      <c r="K674" s="14" t="str">
        <f t="shared" si="216"/>
        <v>Twitter for Android</v>
      </c>
      <c r="L674" s="13">
        <v>467</v>
      </c>
      <c r="M674" s="13">
        <v>702</v>
      </c>
      <c r="N674" s="13">
        <v>8</v>
      </c>
      <c r="O674" s="15"/>
      <c r="P674" s="6">
        <v>42019.940844907411</v>
      </c>
      <c r="Q674" s="16" t="s">
        <v>2370</v>
      </c>
      <c r="R674" s="17" t="s">
        <v>2371</v>
      </c>
      <c r="S674" s="12"/>
      <c r="T674" s="12"/>
      <c r="U674" s="10" t="str">
        <f>HYPERLINK("https://pbs.twimg.com/profile_images/1033451649552011265/TOoISdCr.jpg","View")</f>
        <v>View</v>
      </c>
    </row>
    <row r="675" spans="1:21" ht="51">
      <c r="A675" s="6">
        <v>43422.659479166672</v>
      </c>
      <c r="B675" s="7" t="str">
        <f>HYPERLINK("https://twitter.com/larjartito","@larjartito")</f>
        <v>@larjartito</v>
      </c>
      <c r="C675" s="8" t="s">
        <v>2849</v>
      </c>
      <c r="D675" s="9" t="s">
        <v>2850</v>
      </c>
      <c r="E675" s="10" t="str">
        <f>HYPERLINK("https://twitter.com/larjartito/status/1064168765871583239","1064168765871583239")</f>
        <v>1064168765871583239</v>
      </c>
      <c r="F675" s="16" t="s">
        <v>2852</v>
      </c>
      <c r="G675" s="12"/>
      <c r="H675" s="12"/>
      <c r="I675" s="13">
        <v>0</v>
      </c>
      <c r="J675" s="13">
        <v>0</v>
      </c>
      <c r="K675" s="14" t="str">
        <f t="shared" si="216"/>
        <v>Twitter for Android</v>
      </c>
      <c r="L675" s="13">
        <v>61</v>
      </c>
      <c r="M675" s="13">
        <v>92</v>
      </c>
      <c r="N675" s="13">
        <v>0</v>
      </c>
      <c r="O675" s="15"/>
      <c r="P675" s="6">
        <v>43263.893506944441</v>
      </c>
      <c r="Q675" s="12"/>
      <c r="R675" s="17" t="s">
        <v>2853</v>
      </c>
      <c r="S675" s="12"/>
      <c r="T675" s="12"/>
      <c r="U675" s="10" t="str">
        <f>HYPERLINK("https://pbs.twimg.com/profile_images/1047799079068213248/OArt_L2Y.jpg","View")</f>
        <v>View</v>
      </c>
    </row>
    <row r="676" spans="1:21" ht="51">
      <c r="A676" s="6">
        <v>43422.651909722219</v>
      </c>
      <c r="B676" s="7" t="str">
        <f>HYPERLINK("https://twitter.com/JuandelaVilla97","@JuandelaVilla97")</f>
        <v>@JuandelaVilla97</v>
      </c>
      <c r="C676" s="8" t="s">
        <v>2372</v>
      </c>
      <c r="D676" s="9" t="s">
        <v>2373</v>
      </c>
      <c r="E676" s="10" t="str">
        <f>HYPERLINK("https://twitter.com/JuandelaVilla97/status/1064166021580361728","1064166021580361728")</f>
        <v>1064166021580361728</v>
      </c>
      <c r="F676" s="12"/>
      <c r="G676" s="12"/>
      <c r="H676" s="12"/>
      <c r="I676" s="13">
        <v>0</v>
      </c>
      <c r="J676" s="13">
        <v>0</v>
      </c>
      <c r="K676" s="14" t="str">
        <f t="shared" si="216"/>
        <v>Twitter for Android</v>
      </c>
      <c r="L676" s="13">
        <v>614</v>
      </c>
      <c r="M676" s="13">
        <v>294</v>
      </c>
      <c r="N676" s="13">
        <v>2</v>
      </c>
      <c r="O676" s="15"/>
      <c r="P676" s="6">
        <v>41411.827893518523</v>
      </c>
      <c r="Q676" s="12"/>
      <c r="R676" s="17" t="s">
        <v>2374</v>
      </c>
      <c r="S676" s="12"/>
      <c r="T676" s="12"/>
      <c r="U676" s="10" t="str">
        <f>HYPERLINK("https://pbs.twimg.com/profile_images/1006805653820792832/ocUS5G1U.jpg","View")</f>
        <v>View</v>
      </c>
    </row>
    <row r="677" spans="1:21" ht="20.399999999999999">
      <c r="A677" s="6">
        <v>43422.650937500002</v>
      </c>
      <c r="B677" s="7" t="str">
        <f>HYPERLINK("https://twitter.com/negativo_stats","@negativo_stats")</f>
        <v>@negativo_stats</v>
      </c>
      <c r="C677" s="8" t="s">
        <v>41</v>
      </c>
      <c r="D677" s="9" t="s">
        <v>42</v>
      </c>
      <c r="E677" s="10" t="str">
        <f>HYPERLINK("https://twitter.com/negativo_stats/status/1064165667820179456","1064165667820179456")</f>
        <v>1064165667820179456</v>
      </c>
      <c r="F677" s="12"/>
      <c r="G677" s="11" t="s">
        <v>2375</v>
      </c>
      <c r="H677" s="12"/>
      <c r="I677" s="13">
        <v>0</v>
      </c>
      <c r="J677" s="13">
        <v>0</v>
      </c>
      <c r="K677" s="14" t="str">
        <f>HYPERLINK("http://kosmonautica.es","Política Negativa")</f>
        <v>Política Negativa</v>
      </c>
      <c r="L677" s="13">
        <v>256</v>
      </c>
      <c r="M677" s="13">
        <v>694</v>
      </c>
      <c r="N677" s="13">
        <v>2</v>
      </c>
      <c r="O677" s="15"/>
      <c r="P677" s="6">
        <v>42171.770601851851</v>
      </c>
      <c r="Q677" s="16" t="s">
        <v>44</v>
      </c>
      <c r="R677" s="17" t="s">
        <v>45</v>
      </c>
      <c r="S677" s="12"/>
      <c r="T677" s="12"/>
      <c r="U677" s="10" t="str">
        <f>HYPERLINK("https://pbs.twimg.com/profile_images/628553625984438272/e-VHyhP1.png","View")</f>
        <v>View</v>
      </c>
    </row>
    <row r="678" spans="1:21" ht="61.2">
      <c r="A678" s="6">
        <v>43422.650844907403</v>
      </c>
      <c r="B678" s="7" t="str">
        <f>HYPERLINK("https://twitter.com/RaPiqFu","@RaPiqFu")</f>
        <v>@RaPiqFu</v>
      </c>
      <c r="C678" s="8" t="s">
        <v>1029</v>
      </c>
      <c r="D678" s="9" t="s">
        <v>2378</v>
      </c>
      <c r="E678" s="10" t="str">
        <f>HYPERLINK("https://twitter.com/RaPiqFu/status/1064165634492256258","1064165634492256258")</f>
        <v>1064165634492256258</v>
      </c>
      <c r="F678" s="12"/>
      <c r="G678" s="12"/>
      <c r="H678" s="12"/>
      <c r="I678" s="13">
        <v>0</v>
      </c>
      <c r="J678" s="13">
        <v>2</v>
      </c>
      <c r="K678" s="14" t="str">
        <f t="shared" ref="K678:K680" si="217">HYPERLINK("http://twitter.com/download/android","Twitter for Android")</f>
        <v>Twitter for Android</v>
      </c>
      <c r="L678" s="13">
        <v>1578</v>
      </c>
      <c r="M678" s="13">
        <v>808</v>
      </c>
      <c r="N678" s="13">
        <v>21</v>
      </c>
      <c r="O678" s="15"/>
      <c r="P678" s="6">
        <v>40595.905127314814</v>
      </c>
      <c r="Q678" s="16" t="s">
        <v>953</v>
      </c>
      <c r="R678" s="17" t="s">
        <v>1031</v>
      </c>
      <c r="S678" s="12"/>
      <c r="T678" s="12"/>
      <c r="U678" s="10" t="str">
        <f>HYPERLINK("https://pbs.twimg.com/profile_images/1059362479975923713/VEYq9v5X.jpg","View")</f>
        <v>View</v>
      </c>
    </row>
    <row r="679" spans="1:21" ht="40.799999999999997">
      <c r="A679" s="6">
        <v>43422.649629629625</v>
      </c>
      <c r="B679" s="7" t="str">
        <f t="shared" ref="B679:B680" si="218">HYPERLINK("https://twitter.com/lunadebenidorm","@lunadebenidorm")</f>
        <v>@lunadebenidorm</v>
      </c>
      <c r="C679" s="8" t="s">
        <v>106</v>
      </c>
      <c r="D679" s="9" t="s">
        <v>2379</v>
      </c>
      <c r="E679" s="10" t="str">
        <f>HYPERLINK("https://twitter.com/lunadebenidorm/status/1064165193985470465","1064165193985470465")</f>
        <v>1064165193985470465</v>
      </c>
      <c r="F679" s="11" t="s">
        <v>2380</v>
      </c>
      <c r="G679" s="12"/>
      <c r="H679" s="12"/>
      <c r="I679" s="13">
        <v>0</v>
      </c>
      <c r="J679" s="13">
        <v>0</v>
      </c>
      <c r="K679" s="14" t="str">
        <f t="shared" si="217"/>
        <v>Twitter for Android</v>
      </c>
      <c r="L679" s="13">
        <v>3991</v>
      </c>
      <c r="M679" s="13">
        <v>3978</v>
      </c>
      <c r="N679" s="13">
        <v>79</v>
      </c>
      <c r="O679" s="15"/>
      <c r="P679" s="6">
        <v>41461.81186342593</v>
      </c>
      <c r="Q679" s="12"/>
      <c r="R679" s="17" t="s">
        <v>108</v>
      </c>
      <c r="S679" s="12"/>
      <c r="T679" s="12"/>
      <c r="U679" s="10" t="str">
        <f t="shared" ref="U679:U680" si="219">HYPERLINK("https://pbs.twimg.com/profile_images/1061229593758257153/rePCQt08.jpg","View")</f>
        <v>View</v>
      </c>
    </row>
    <row r="680" spans="1:21" ht="71.400000000000006">
      <c r="A680" s="6">
        <v>43422.638611111106</v>
      </c>
      <c r="B680" s="7" t="str">
        <f t="shared" si="218"/>
        <v>@lunadebenidorm</v>
      </c>
      <c r="C680" s="8" t="s">
        <v>106</v>
      </c>
      <c r="D680" s="9" t="s">
        <v>2381</v>
      </c>
      <c r="E680" s="10" t="str">
        <f>HYPERLINK("https://twitter.com/lunadebenidorm/status/1064161202069258241","1064161202069258241")</f>
        <v>1064161202069258241</v>
      </c>
      <c r="F680" s="11" t="s">
        <v>2382</v>
      </c>
      <c r="G680" s="12"/>
      <c r="H680" s="12"/>
      <c r="I680" s="13">
        <v>0</v>
      </c>
      <c r="J680" s="13">
        <v>0</v>
      </c>
      <c r="K680" s="14" t="str">
        <f t="shared" si="217"/>
        <v>Twitter for Android</v>
      </c>
      <c r="L680" s="13">
        <v>3991</v>
      </c>
      <c r="M680" s="13">
        <v>3978</v>
      </c>
      <c r="N680" s="13">
        <v>79</v>
      </c>
      <c r="O680" s="15"/>
      <c r="P680" s="6">
        <v>41461.81186342593</v>
      </c>
      <c r="Q680" s="12"/>
      <c r="R680" s="17" t="s">
        <v>108</v>
      </c>
      <c r="S680" s="12"/>
      <c r="T680" s="12"/>
      <c r="U680" s="10" t="str">
        <f t="shared" si="219"/>
        <v>View</v>
      </c>
    </row>
    <row r="681" spans="1:21" ht="40.799999999999997">
      <c r="A681" s="6">
        <v>43422.633888888886</v>
      </c>
      <c r="B681" s="7" t="str">
        <f>HYPERLINK("https://twitter.com/McmardigganV","@McmardigganV")</f>
        <v>@McmardigganV</v>
      </c>
      <c r="C681" s="8" t="s">
        <v>2383</v>
      </c>
      <c r="D681" s="9" t="s">
        <v>2384</v>
      </c>
      <c r="E681" s="10" t="str">
        <f>HYPERLINK("https://twitter.com/McmardigganV/status/1064159489190879232","1064159489190879232")</f>
        <v>1064159489190879232</v>
      </c>
      <c r="F681" s="12"/>
      <c r="G681" s="12"/>
      <c r="H681" s="12"/>
      <c r="I681" s="13">
        <v>0</v>
      </c>
      <c r="J681" s="13">
        <v>1</v>
      </c>
      <c r="K681" s="14" t="str">
        <f>HYPERLINK("http://twitter.com","Twitter Web Client")</f>
        <v>Twitter Web Client</v>
      </c>
      <c r="L681" s="13">
        <v>2361</v>
      </c>
      <c r="M681" s="13">
        <v>4751</v>
      </c>
      <c r="N681" s="13">
        <v>11</v>
      </c>
      <c r="O681" s="15"/>
      <c r="P681" s="6">
        <v>41464.743935185186</v>
      </c>
      <c r="Q681" s="16" t="s">
        <v>66</v>
      </c>
      <c r="R681" s="17" t="s">
        <v>2385</v>
      </c>
      <c r="S681" s="12"/>
      <c r="T681" s="12"/>
      <c r="U681" s="10" t="str">
        <f>HYPERLINK("https://pbs.twimg.com/profile_images/917645025466572801/0DYIk8-8.jpg","View")</f>
        <v>View</v>
      </c>
    </row>
    <row r="682" spans="1:21" ht="40.799999999999997">
      <c r="A682" s="6">
        <v>43422.620324074072</v>
      </c>
      <c r="B682" s="7" t="str">
        <f>HYPERLINK("https://twitter.com/AlbertoSBlanco","@AlbertoSBlanco")</f>
        <v>@AlbertoSBlanco</v>
      </c>
      <c r="C682" s="8" t="s">
        <v>2386</v>
      </c>
      <c r="D682" s="9" t="s">
        <v>2387</v>
      </c>
      <c r="E682" s="10" t="str">
        <f>HYPERLINK("https://twitter.com/AlbertoSBlanco/status/1064154574905372679","1064154574905372679")</f>
        <v>1064154574905372679</v>
      </c>
      <c r="F682" s="11" t="s">
        <v>2388</v>
      </c>
      <c r="G682" s="12"/>
      <c r="H682" s="12"/>
      <c r="I682" s="13">
        <v>0</v>
      </c>
      <c r="J682" s="13">
        <v>2</v>
      </c>
      <c r="K682" s="14" t="str">
        <f>HYPERLINK("http://twitter.com/download/android","Twitter for Android")</f>
        <v>Twitter for Android</v>
      </c>
      <c r="L682" s="13">
        <v>2675</v>
      </c>
      <c r="M682" s="13">
        <v>3144</v>
      </c>
      <c r="N682" s="13">
        <v>32</v>
      </c>
      <c r="O682" s="15"/>
      <c r="P682" s="6">
        <v>40747.720636574071</v>
      </c>
      <c r="Q682" s="12"/>
      <c r="R682" s="17" t="s">
        <v>2391</v>
      </c>
      <c r="S682" s="11" t="s">
        <v>2392</v>
      </c>
      <c r="T682" s="12"/>
      <c r="U682" s="10" t="str">
        <f>HYPERLINK("https://pbs.twimg.com/profile_images/966330983829135360/yRqQ0NN1.jpg","View")</f>
        <v>View</v>
      </c>
    </row>
    <row r="683" spans="1:21" ht="91.8">
      <c r="A683" s="6">
        <v>43422.620046296295</v>
      </c>
      <c r="B683" s="7" t="str">
        <f>HYPERLINK("https://twitter.com/zarcoharon","@zarcoharon")</f>
        <v>@zarcoharon</v>
      </c>
      <c r="C683" s="8" t="s">
        <v>2394</v>
      </c>
      <c r="D683" s="9" t="s">
        <v>2395</v>
      </c>
      <c r="E683" s="10" t="str">
        <f>HYPERLINK("https://twitter.com/zarcoharon/status/1064154475110297601","1064154475110297601")</f>
        <v>1064154475110297601</v>
      </c>
      <c r="F683" s="11" t="s">
        <v>2396</v>
      </c>
      <c r="G683" s="11" t="s">
        <v>2397</v>
      </c>
      <c r="H683" s="12"/>
      <c r="I683" s="13">
        <v>0</v>
      </c>
      <c r="J683" s="13">
        <v>0</v>
      </c>
      <c r="K683" s="14" t="str">
        <f>HYPERLINK("http://twitter.com/#!/download/ipad","Twitter for iPad")</f>
        <v>Twitter for iPad</v>
      </c>
      <c r="L683" s="13">
        <v>1232</v>
      </c>
      <c r="M683" s="13">
        <v>2428</v>
      </c>
      <c r="N683" s="13">
        <v>20</v>
      </c>
      <c r="O683" s="15"/>
      <c r="P683" s="6">
        <v>41104.798541666663</v>
      </c>
      <c r="Q683" s="12"/>
      <c r="R683" s="21"/>
      <c r="S683" s="12"/>
      <c r="T683" s="12"/>
      <c r="U683" s="10" t="str">
        <f>HYPERLINK("https://pbs.twimg.com/profile_images/2958251501/7508dda3116af0966d8f78b822924de2.jpeg","View")</f>
        <v>View</v>
      </c>
    </row>
    <row r="684" spans="1:21" ht="61.2">
      <c r="A684" s="6">
        <v>43422.605798611112</v>
      </c>
      <c r="B684" s="7" t="str">
        <f>HYPERLINK("https://twitter.com/BienInformad15","@BienInformad15")</f>
        <v>@BienInformad15</v>
      </c>
      <c r="C684" s="8" t="s">
        <v>2399</v>
      </c>
      <c r="D684" s="9" t="s">
        <v>2400</v>
      </c>
      <c r="E684" s="10" t="str">
        <f>HYPERLINK("https://twitter.com/BienInformad15/status/1064149310873526272","1064149310873526272")</f>
        <v>1064149310873526272</v>
      </c>
      <c r="F684" s="12"/>
      <c r="G684" s="12"/>
      <c r="H684" s="12"/>
      <c r="I684" s="13">
        <v>0</v>
      </c>
      <c r="J684" s="13">
        <v>0</v>
      </c>
      <c r="K684" s="14" t="str">
        <f>HYPERLINK("http://twitter.com/download/iphone","Twitter for iPhone")</f>
        <v>Twitter for iPhone</v>
      </c>
      <c r="L684" s="13">
        <v>1116</v>
      </c>
      <c r="M684" s="13">
        <v>2508</v>
      </c>
      <c r="N684" s="13">
        <v>8</v>
      </c>
      <c r="O684" s="15"/>
      <c r="P684" s="6">
        <v>41405.9997337963</v>
      </c>
      <c r="Q684" s="12"/>
      <c r="R684" s="17" t="s">
        <v>2401</v>
      </c>
      <c r="S684" s="12"/>
      <c r="T684" s="12"/>
      <c r="U684" s="10" t="str">
        <f>HYPERLINK("https://pbs.twimg.com/profile_images/940358732176904193/ixsmtxkK.jpg","View")</f>
        <v>View</v>
      </c>
    </row>
    <row r="685" spans="1:21" ht="40.799999999999997">
      <c r="A685" s="6">
        <v>43422.600729166668</v>
      </c>
      <c r="B685" s="7" t="str">
        <f>HYPERLINK("https://twitter.com/Santi_ABASCAL","@Santi_ABASCAL")</f>
        <v>@Santi_ABASCAL</v>
      </c>
      <c r="C685" s="8" t="s">
        <v>182</v>
      </c>
      <c r="D685" s="9" t="s">
        <v>2871</v>
      </c>
      <c r="E685" s="10" t="str">
        <f>HYPERLINK("https://twitter.com/Santi_ABASCAL/status/1064147473638268929","1064147473638268929")</f>
        <v>1064147473638268929</v>
      </c>
      <c r="F685" s="11" t="s">
        <v>2872</v>
      </c>
      <c r="G685" s="12"/>
      <c r="H685" s="12"/>
      <c r="I685" s="13">
        <v>1524</v>
      </c>
      <c r="J685" s="13">
        <v>1967</v>
      </c>
      <c r="K685" s="14" t="str">
        <f t="shared" ref="K685:K688" si="220">HYPERLINK("http://twitter.com/download/android","Twitter for Android")</f>
        <v>Twitter for Android</v>
      </c>
      <c r="L685" s="13">
        <v>117602</v>
      </c>
      <c r="M685" s="13">
        <v>3896</v>
      </c>
      <c r="N685" s="13">
        <v>915</v>
      </c>
      <c r="O685" s="23" t="s">
        <v>186</v>
      </c>
      <c r="P685" s="6">
        <v>40606.716446759259</v>
      </c>
      <c r="Q685" s="16" t="s">
        <v>188</v>
      </c>
      <c r="R685" s="17" t="s">
        <v>189</v>
      </c>
      <c r="S685" s="11" t="s">
        <v>190</v>
      </c>
      <c r="T685" s="12"/>
      <c r="U685" s="10" t="str">
        <f>HYPERLINK("https://pbs.twimg.com/profile_images/1010488787686879232/2CnqYKlD.jpg","View")</f>
        <v>View</v>
      </c>
    </row>
    <row r="686" spans="1:21" ht="20.399999999999999">
      <c r="A686" s="6">
        <v>43422.598923611113</v>
      </c>
      <c r="B686" s="7" t="str">
        <f>HYPERLINK("https://twitter.com/stgcartago","@stgcartago")</f>
        <v>@stgcartago</v>
      </c>
      <c r="C686" s="8" t="s">
        <v>2402</v>
      </c>
      <c r="D686" s="9" t="s">
        <v>2403</v>
      </c>
      <c r="E686" s="10" t="str">
        <f>HYPERLINK("https://twitter.com/stgcartago/status/1064146820895522816","1064146820895522816")</f>
        <v>1064146820895522816</v>
      </c>
      <c r="F686" s="12"/>
      <c r="G686" s="11" t="s">
        <v>2404</v>
      </c>
      <c r="H686" s="12"/>
      <c r="I686" s="13">
        <v>1</v>
      </c>
      <c r="J686" s="13">
        <v>0</v>
      </c>
      <c r="K686" s="14" t="str">
        <f t="shared" si="220"/>
        <v>Twitter for Android</v>
      </c>
      <c r="L686" s="13">
        <v>37</v>
      </c>
      <c r="M686" s="13">
        <v>139</v>
      </c>
      <c r="N686" s="13">
        <v>1</v>
      </c>
      <c r="O686" s="15"/>
      <c r="P686" s="6">
        <v>42002.7421875</v>
      </c>
      <c r="Q686" s="12"/>
      <c r="R686" s="17" t="s">
        <v>2405</v>
      </c>
      <c r="S686" s="12"/>
      <c r="T686" s="12"/>
      <c r="U686" s="10" t="str">
        <f>HYPERLINK("https://pbs.twimg.com/profile_images/549636792551763968/OjOvdMnC.jpeg","View")</f>
        <v>View</v>
      </c>
    </row>
    <row r="687" spans="1:21" ht="102">
      <c r="A687" s="6">
        <v>43422.595636574071</v>
      </c>
      <c r="B687" s="7" t="str">
        <f>HYPERLINK("https://twitter.com/enigmista_ita","@enigmista_ita")</f>
        <v>@enigmista_ita</v>
      </c>
      <c r="C687" s="8" t="s">
        <v>1154</v>
      </c>
      <c r="D687" s="9" t="s">
        <v>2406</v>
      </c>
      <c r="E687" s="10" t="str">
        <f>HYPERLINK("https://twitter.com/enigmista_ita/status/1064145628912066560","1064145628912066560")</f>
        <v>1064145628912066560</v>
      </c>
      <c r="F687" s="11" t="s">
        <v>2407</v>
      </c>
      <c r="G687" s="11" t="s">
        <v>2408</v>
      </c>
      <c r="H687" s="12"/>
      <c r="I687" s="13">
        <v>0</v>
      </c>
      <c r="J687" s="13">
        <v>1</v>
      </c>
      <c r="K687" s="14" t="str">
        <f t="shared" si="220"/>
        <v>Twitter for Android</v>
      </c>
      <c r="L687" s="13">
        <v>270</v>
      </c>
      <c r="M687" s="13">
        <v>804</v>
      </c>
      <c r="N687" s="13">
        <v>1</v>
      </c>
      <c r="O687" s="15"/>
      <c r="P687" s="6">
        <v>43224.978437500002</v>
      </c>
      <c r="Q687" s="16" t="s">
        <v>1158</v>
      </c>
      <c r="R687" s="17" t="s">
        <v>1159</v>
      </c>
      <c r="S687" s="12"/>
      <c r="T687" s="12"/>
      <c r="U687" s="10" t="str">
        <f>HYPERLINK("https://pbs.twimg.com/profile_images/1000895275303612416/VFVg0qGz.jpg","View")</f>
        <v>View</v>
      </c>
    </row>
    <row r="688" spans="1:21" ht="40.799999999999997">
      <c r="A688" s="6">
        <v>43422.594907407409</v>
      </c>
      <c r="B688" s="7" t="str">
        <f>HYPERLINK("https://twitter.com/Miguel_4v_a7x","@Miguel_4v_a7x")</f>
        <v>@Miguel_4v_a7x</v>
      </c>
      <c r="C688" s="8" t="s">
        <v>2409</v>
      </c>
      <c r="D688" s="9" t="s">
        <v>2410</v>
      </c>
      <c r="E688" s="10" t="str">
        <f>HYPERLINK("https://twitter.com/Miguel_4v_a7x/status/1064145364683501569","1064145364683501569")</f>
        <v>1064145364683501569</v>
      </c>
      <c r="F688" s="12"/>
      <c r="G688" s="12"/>
      <c r="H688" s="12"/>
      <c r="I688" s="13">
        <v>0</v>
      </c>
      <c r="J688" s="13">
        <v>2</v>
      </c>
      <c r="K688" s="14" t="str">
        <f t="shared" si="220"/>
        <v>Twitter for Android</v>
      </c>
      <c r="L688" s="13">
        <v>430</v>
      </c>
      <c r="M688" s="13">
        <v>133</v>
      </c>
      <c r="N688" s="13">
        <v>6</v>
      </c>
      <c r="O688" s="15"/>
      <c r="P688" s="6">
        <v>41501.486215277779</v>
      </c>
      <c r="Q688" s="16" t="s">
        <v>201</v>
      </c>
      <c r="R688" s="17" t="s">
        <v>2411</v>
      </c>
      <c r="S688" s="12"/>
      <c r="T688" s="12"/>
      <c r="U688" s="10" t="str">
        <f>HYPERLINK("https://pbs.twimg.com/profile_images/1065710547491061761/4HzTI4lI.jpg","View")</f>
        <v>View</v>
      </c>
    </row>
    <row r="689" spans="1:21" ht="40.799999999999997">
      <c r="A689" s="6">
        <v>43422.586597222224</v>
      </c>
      <c r="B689" s="7" t="str">
        <f>HYPERLINK("https://twitter.com/_okdario","@_okdario")</f>
        <v>@_okdario</v>
      </c>
      <c r="C689" s="8" t="s">
        <v>2880</v>
      </c>
      <c r="D689" s="9" t="s">
        <v>2881</v>
      </c>
      <c r="E689" s="10" t="str">
        <f>HYPERLINK("https://twitter.com/_okdario/status/1064142351558483971","1064142351558483971")</f>
        <v>1064142351558483971</v>
      </c>
      <c r="F689" s="12"/>
      <c r="G689" s="11" t="s">
        <v>2282</v>
      </c>
      <c r="H689" s="12"/>
      <c r="I689" s="13">
        <v>42</v>
      </c>
      <c r="J689" s="13">
        <v>63</v>
      </c>
      <c r="K689" s="14" t="str">
        <f>HYPERLINK("https://www.hootsuite.com","Hootsuite Inc.")</f>
        <v>Hootsuite Inc.</v>
      </c>
      <c r="L689" s="13">
        <v>10283</v>
      </c>
      <c r="M689" s="13">
        <v>50</v>
      </c>
      <c r="N689" s="13">
        <v>57</v>
      </c>
      <c r="O689" s="15"/>
      <c r="P689" s="6">
        <v>42954.869409722218</v>
      </c>
      <c r="Q689" s="16" t="s">
        <v>44</v>
      </c>
      <c r="R689" s="17" t="s">
        <v>2884</v>
      </c>
      <c r="S689" s="12"/>
      <c r="T689" s="12"/>
      <c r="U689" s="10" t="str">
        <f>HYPERLINK("https://pbs.twimg.com/profile_images/915893625485131781/Y66Ys1X6.jpg","View")</f>
        <v>View</v>
      </c>
    </row>
    <row r="690" spans="1:21" ht="51">
      <c r="A690" s="6">
        <v>43422.583750000005</v>
      </c>
      <c r="B690" s="7" t="str">
        <f>HYPERLINK("https://twitter.com/lunadebenidorm","@lunadebenidorm")</f>
        <v>@lunadebenidorm</v>
      </c>
      <c r="C690" s="8" t="s">
        <v>106</v>
      </c>
      <c r="D690" s="9" t="s">
        <v>2412</v>
      </c>
      <c r="E690" s="10" t="str">
        <f>HYPERLINK("https://twitter.com/lunadebenidorm/status/1064141321865187328","1064141321865187328")</f>
        <v>1064141321865187328</v>
      </c>
      <c r="F690" s="12"/>
      <c r="G690" s="11" t="s">
        <v>2415</v>
      </c>
      <c r="H690" s="12"/>
      <c r="I690" s="13">
        <v>0</v>
      </c>
      <c r="J690" s="13">
        <v>0</v>
      </c>
      <c r="K690" s="14" t="str">
        <f>HYPERLINK("http://twitter.com/download/android","Twitter for Android")</f>
        <v>Twitter for Android</v>
      </c>
      <c r="L690" s="13">
        <v>3991</v>
      </c>
      <c r="M690" s="13">
        <v>3978</v>
      </c>
      <c r="N690" s="13">
        <v>79</v>
      </c>
      <c r="O690" s="15"/>
      <c r="P690" s="6">
        <v>41461.81186342593</v>
      </c>
      <c r="Q690" s="12"/>
      <c r="R690" s="17" t="s">
        <v>108</v>
      </c>
      <c r="S690" s="12"/>
      <c r="T690" s="12"/>
      <c r="U690" s="10" t="str">
        <f>HYPERLINK("https://pbs.twimg.com/profile_images/1061229593758257153/rePCQt08.jpg","View")</f>
        <v>View</v>
      </c>
    </row>
    <row r="691" spans="1:21" ht="71.400000000000006">
      <c r="A691" s="6">
        <v>43422.583287037036</v>
      </c>
      <c r="B691" s="7" t="str">
        <f>HYPERLINK("https://twitter.com/ElDoctorMabuse","@ElDoctorMabuse")</f>
        <v>@ElDoctorMabuse</v>
      </c>
      <c r="C691" s="8" t="s">
        <v>1122</v>
      </c>
      <c r="D691" s="9" t="s">
        <v>2417</v>
      </c>
      <c r="E691" s="10" t="str">
        <f>HYPERLINK("https://twitter.com/ElDoctorMabuse/status/1064141153195499520","1064141153195499520")</f>
        <v>1064141153195499520</v>
      </c>
      <c r="F691" s="16" t="s">
        <v>2418</v>
      </c>
      <c r="G691" s="12"/>
      <c r="H691" s="12"/>
      <c r="I691" s="13">
        <v>0</v>
      </c>
      <c r="J691" s="13">
        <v>0</v>
      </c>
      <c r="K691" s="14" t="str">
        <f>HYPERLINK("http://twitter.com/#!/download/ipad","Twitter for iPad")</f>
        <v>Twitter for iPad</v>
      </c>
      <c r="L691" s="13">
        <v>243</v>
      </c>
      <c r="M691" s="13">
        <v>535</v>
      </c>
      <c r="N691" s="13">
        <v>11</v>
      </c>
      <c r="O691" s="15"/>
      <c r="P691" s="6">
        <v>40273.293067129627</v>
      </c>
      <c r="Q691" s="16" t="s">
        <v>1126</v>
      </c>
      <c r="R691" s="17" t="s">
        <v>1127</v>
      </c>
      <c r="S691" s="11" t="s">
        <v>1128</v>
      </c>
      <c r="T691" s="12"/>
      <c r="U691" s="10" t="str">
        <f>HYPERLINK("https://pbs.twimg.com/profile_images/442391428069879808/46XrmQAl.jpeg","View")</f>
        <v>View</v>
      </c>
    </row>
    <row r="692" spans="1:21" ht="13.2">
      <c r="A692" s="6">
        <v>43422.57949074074</v>
      </c>
      <c r="B692" s="7" t="str">
        <f>HYPERLINK("https://twitter.com/NaneRevenge","@NaneRevenge")</f>
        <v>@NaneRevenge</v>
      </c>
      <c r="C692" s="8" t="s">
        <v>2419</v>
      </c>
      <c r="D692" s="9" t="s">
        <v>2420</v>
      </c>
      <c r="E692" s="10" t="str">
        <f>HYPERLINK("https://twitter.com/NaneRevenge/status/1064139779862876160","1064139779862876160")</f>
        <v>1064139779862876160</v>
      </c>
      <c r="F692" s="12"/>
      <c r="G692" s="12"/>
      <c r="H692" s="12"/>
      <c r="I692" s="13">
        <v>0</v>
      </c>
      <c r="J692" s="13">
        <v>0</v>
      </c>
      <c r="K692" s="14" t="str">
        <f t="shared" ref="K692:K693" si="221">HYPERLINK("http://twitter.com","Twitter Web Client")</f>
        <v>Twitter Web Client</v>
      </c>
      <c r="L692" s="13">
        <v>546</v>
      </c>
      <c r="M692" s="13">
        <v>398</v>
      </c>
      <c r="N692" s="13">
        <v>4</v>
      </c>
      <c r="O692" s="15"/>
      <c r="P692" s="6">
        <v>40454.518472222218</v>
      </c>
      <c r="Q692" s="16" t="s">
        <v>1319</v>
      </c>
      <c r="R692" s="17" t="s">
        <v>2421</v>
      </c>
      <c r="S692" s="12"/>
      <c r="T692" s="12"/>
      <c r="U692" s="10" t="str">
        <f>HYPERLINK("https://pbs.twimg.com/profile_images/927205003974053890/GDLRFspi.jpg","View")</f>
        <v>View</v>
      </c>
    </row>
    <row r="693" spans="1:21" ht="71.400000000000006">
      <c r="A693" s="6">
        <v>43422.568576388891</v>
      </c>
      <c r="B693" s="7" t="str">
        <f>HYPERLINK("https://twitter.com/NeroPaddilla","@NeroPaddilla")</f>
        <v>@NeroPaddilla</v>
      </c>
      <c r="C693" s="8" t="s">
        <v>1546</v>
      </c>
      <c r="D693" s="9" t="s">
        <v>2422</v>
      </c>
      <c r="E693" s="10" t="str">
        <f>HYPERLINK("https://twitter.com/NeroPaddilla/status/1064135821358448641","1064135821358448641")</f>
        <v>1064135821358448641</v>
      </c>
      <c r="F693" s="16" t="s">
        <v>2424</v>
      </c>
      <c r="G693" s="12"/>
      <c r="H693" s="12"/>
      <c r="I693" s="13">
        <v>0</v>
      </c>
      <c r="J693" s="13">
        <v>0</v>
      </c>
      <c r="K693" s="14" t="str">
        <f t="shared" si="221"/>
        <v>Twitter Web Client</v>
      </c>
      <c r="L693" s="13">
        <v>530</v>
      </c>
      <c r="M693" s="13">
        <v>1145</v>
      </c>
      <c r="N693" s="13">
        <v>0</v>
      </c>
      <c r="O693" s="15"/>
      <c r="P693" s="6">
        <v>43177.728159722217</v>
      </c>
      <c r="Q693" s="12"/>
      <c r="R693" s="21"/>
      <c r="S693" s="12"/>
      <c r="T693" s="12"/>
      <c r="U693" s="10" t="str">
        <f>HYPERLINK("https://pbs.twimg.com/profile_images/975414123369500672/1Q9skH_w.jpg","View")</f>
        <v>View</v>
      </c>
    </row>
    <row r="694" spans="1:21" ht="61.2">
      <c r="A694" s="6">
        <v>43422.568495370375</v>
      </c>
      <c r="B694" s="7" t="str">
        <f t="shared" ref="B694:B695" si="222">HYPERLINK("https://twitter.com/lunadebenidorm","@lunadebenidorm")</f>
        <v>@lunadebenidorm</v>
      </c>
      <c r="C694" s="8" t="s">
        <v>106</v>
      </c>
      <c r="D694" s="9" t="s">
        <v>2426</v>
      </c>
      <c r="E694" s="10" t="str">
        <f>HYPERLINK("https://twitter.com/lunadebenidorm/status/1064135794301042688","1064135794301042688")</f>
        <v>1064135794301042688</v>
      </c>
      <c r="F694" s="12"/>
      <c r="G694" s="11" t="s">
        <v>2427</v>
      </c>
      <c r="H694" s="12"/>
      <c r="I694" s="13">
        <v>0</v>
      </c>
      <c r="J694" s="13">
        <v>0</v>
      </c>
      <c r="K694" s="14" t="str">
        <f t="shared" ref="K694:K695" si="223">HYPERLINK("http://twitter.com/download/android","Twitter for Android")</f>
        <v>Twitter for Android</v>
      </c>
      <c r="L694" s="13">
        <v>3991</v>
      </c>
      <c r="M694" s="13">
        <v>3978</v>
      </c>
      <c r="N694" s="13">
        <v>79</v>
      </c>
      <c r="O694" s="15"/>
      <c r="P694" s="6">
        <v>41461.81186342593</v>
      </c>
      <c r="Q694" s="12"/>
      <c r="R694" s="17" t="s">
        <v>108</v>
      </c>
      <c r="S694" s="12"/>
      <c r="T694" s="12"/>
      <c r="U694" s="10" t="str">
        <f t="shared" ref="U694:U695" si="224">HYPERLINK("https://pbs.twimg.com/profile_images/1061229593758257153/rePCQt08.jpg","View")</f>
        <v>View</v>
      </c>
    </row>
    <row r="695" spans="1:21" ht="40.799999999999997">
      <c r="A695" s="6">
        <v>43422.55878472222</v>
      </c>
      <c r="B695" s="7" t="str">
        <f t="shared" si="222"/>
        <v>@lunadebenidorm</v>
      </c>
      <c r="C695" s="8" t="s">
        <v>106</v>
      </c>
      <c r="D695" s="9" t="s">
        <v>2428</v>
      </c>
      <c r="E695" s="10" t="str">
        <f>HYPERLINK("https://twitter.com/lunadebenidorm/status/1064132275233787905","1064132275233787905")</f>
        <v>1064132275233787905</v>
      </c>
      <c r="F695" s="12"/>
      <c r="G695" s="12"/>
      <c r="H695" s="12"/>
      <c r="I695" s="13">
        <v>0</v>
      </c>
      <c r="J695" s="13">
        <v>0</v>
      </c>
      <c r="K695" s="14" t="str">
        <f t="shared" si="223"/>
        <v>Twitter for Android</v>
      </c>
      <c r="L695" s="13">
        <v>3991</v>
      </c>
      <c r="M695" s="13">
        <v>3978</v>
      </c>
      <c r="N695" s="13">
        <v>79</v>
      </c>
      <c r="O695" s="15"/>
      <c r="P695" s="6">
        <v>41461.81186342593</v>
      </c>
      <c r="Q695" s="12"/>
      <c r="R695" s="17" t="s">
        <v>108</v>
      </c>
      <c r="S695" s="12"/>
      <c r="T695" s="12"/>
      <c r="U695" s="10" t="str">
        <f t="shared" si="224"/>
        <v>View</v>
      </c>
    </row>
    <row r="696" spans="1:21" ht="30.6">
      <c r="A696" s="6">
        <v>43422.555115740739</v>
      </c>
      <c r="B696" s="7" t="str">
        <f>HYPERLINK("https://twitter.com/jmsalvade","@jmsalvade")</f>
        <v>@jmsalvade</v>
      </c>
      <c r="C696" s="8" t="s">
        <v>611</v>
      </c>
      <c r="D696" s="9" t="s">
        <v>1969</v>
      </c>
      <c r="E696" s="10" t="str">
        <f>HYPERLINK("https://twitter.com/jmsalvade/status/1064130943567441920","1064130943567441920")</f>
        <v>1064130943567441920</v>
      </c>
      <c r="F696" s="11" t="s">
        <v>1156</v>
      </c>
      <c r="G696" s="12"/>
      <c r="H696" s="12"/>
      <c r="I696" s="13">
        <v>0</v>
      </c>
      <c r="J696" s="13">
        <v>1</v>
      </c>
      <c r="K696" s="14" t="str">
        <f>HYPERLINK("http://twitter.com","Twitter Web Client")</f>
        <v>Twitter Web Client</v>
      </c>
      <c r="L696" s="13">
        <v>361</v>
      </c>
      <c r="M696" s="13">
        <v>693</v>
      </c>
      <c r="N696" s="13">
        <v>15</v>
      </c>
      <c r="O696" s="15"/>
      <c r="P696" s="6">
        <v>41260.869745370372</v>
      </c>
      <c r="Q696" s="12"/>
      <c r="R696" s="17" t="s">
        <v>615</v>
      </c>
      <c r="S696" s="11" t="s">
        <v>616</v>
      </c>
      <c r="T696" s="12"/>
      <c r="U696" s="10" t="str">
        <f>HYPERLINK("https://pbs.twimg.com/profile_images/455739214663917568/tdXuqCOx.jpeg","View")</f>
        <v>View</v>
      </c>
    </row>
    <row r="697" spans="1:21" ht="30.6">
      <c r="A697" s="6">
        <v>43422.553217592591</v>
      </c>
      <c r="B697" s="7" t="str">
        <f>HYPERLINK("https://twitter.com/lunadebenidorm","@lunadebenidorm")</f>
        <v>@lunadebenidorm</v>
      </c>
      <c r="C697" s="8" t="s">
        <v>106</v>
      </c>
      <c r="D697" s="9" t="s">
        <v>2429</v>
      </c>
      <c r="E697" s="10" t="str">
        <f>HYPERLINK("https://twitter.com/lunadebenidorm/status/1064130255370235910","1064130255370235910")</f>
        <v>1064130255370235910</v>
      </c>
      <c r="F697" s="12"/>
      <c r="G697" s="11" t="s">
        <v>2430</v>
      </c>
      <c r="H697" s="12"/>
      <c r="I697" s="13">
        <v>0</v>
      </c>
      <c r="J697" s="13">
        <v>0</v>
      </c>
      <c r="K697" s="14" t="str">
        <f t="shared" ref="K697:K702" si="225">HYPERLINK("http://twitter.com/download/android","Twitter for Android")</f>
        <v>Twitter for Android</v>
      </c>
      <c r="L697" s="13">
        <v>3991</v>
      </c>
      <c r="M697" s="13">
        <v>3978</v>
      </c>
      <c r="N697" s="13">
        <v>79</v>
      </c>
      <c r="O697" s="15"/>
      <c r="P697" s="6">
        <v>41461.81186342593</v>
      </c>
      <c r="Q697" s="12"/>
      <c r="R697" s="17" t="s">
        <v>108</v>
      </c>
      <c r="S697" s="12"/>
      <c r="T697" s="12"/>
      <c r="U697" s="10" t="str">
        <f>HYPERLINK("https://pbs.twimg.com/profile_images/1061229593758257153/rePCQt08.jpg","View")</f>
        <v>View</v>
      </c>
    </row>
    <row r="698" spans="1:21" ht="81.599999999999994">
      <c r="A698" s="6">
        <v>43422.552916666667</v>
      </c>
      <c r="B698" s="7" t="str">
        <f>HYPERLINK("https://twitter.com/ArtistJotaErre","@ArtistJotaErre")</f>
        <v>@ArtistJotaErre</v>
      </c>
      <c r="C698" s="8" t="s">
        <v>1315</v>
      </c>
      <c r="D698" s="9" t="s">
        <v>2914</v>
      </c>
      <c r="E698" s="10" t="str">
        <f>HYPERLINK("https://twitter.com/ArtistJotaErre/status/1064130148918861824","1064130148918861824")</f>
        <v>1064130148918861824</v>
      </c>
      <c r="F698" s="16" t="s">
        <v>2272</v>
      </c>
      <c r="G698" s="12"/>
      <c r="H698" s="12"/>
      <c r="I698" s="13">
        <v>0</v>
      </c>
      <c r="J698" s="13">
        <v>0</v>
      </c>
      <c r="K698" s="14" t="str">
        <f t="shared" si="225"/>
        <v>Twitter for Android</v>
      </c>
      <c r="L698" s="13">
        <v>637</v>
      </c>
      <c r="M698" s="13">
        <v>540</v>
      </c>
      <c r="N698" s="13">
        <v>16</v>
      </c>
      <c r="O698" s="15"/>
      <c r="P698" s="6">
        <v>40854.99732638889</v>
      </c>
      <c r="Q698" s="12"/>
      <c r="R698" s="17" t="s">
        <v>1321</v>
      </c>
      <c r="S698" s="12"/>
      <c r="T698" s="12"/>
      <c r="U698" s="10" t="str">
        <f>HYPERLINK("https://pbs.twimg.com/profile_images/1052476566943469568/jfzMU6Qy.jpg","View")</f>
        <v>View</v>
      </c>
    </row>
    <row r="699" spans="1:21" ht="40.799999999999997">
      <c r="A699" s="6">
        <v>43422.548668981486</v>
      </c>
      <c r="B699" s="7" t="str">
        <f t="shared" ref="B699:B700" si="226">HYPERLINK("https://twitter.com/lunadebenidorm","@lunadebenidorm")</f>
        <v>@lunadebenidorm</v>
      </c>
      <c r="C699" s="8" t="s">
        <v>106</v>
      </c>
      <c r="D699" s="9" t="s">
        <v>2434</v>
      </c>
      <c r="E699" s="10" t="str">
        <f>HYPERLINK("https://twitter.com/lunadebenidorm/status/1064128606526472193","1064128606526472193")</f>
        <v>1064128606526472193</v>
      </c>
      <c r="F699" s="12"/>
      <c r="G699" s="11" t="s">
        <v>2437</v>
      </c>
      <c r="H699" s="12"/>
      <c r="I699" s="13">
        <v>0</v>
      </c>
      <c r="J699" s="13">
        <v>0</v>
      </c>
      <c r="K699" s="14" t="str">
        <f t="shared" si="225"/>
        <v>Twitter for Android</v>
      </c>
      <c r="L699" s="13">
        <v>3991</v>
      </c>
      <c r="M699" s="13">
        <v>3978</v>
      </c>
      <c r="N699" s="13">
        <v>79</v>
      </c>
      <c r="O699" s="15"/>
      <c r="P699" s="6">
        <v>41461.81186342593</v>
      </c>
      <c r="Q699" s="12"/>
      <c r="R699" s="17" t="s">
        <v>108</v>
      </c>
      <c r="S699" s="12"/>
      <c r="T699" s="12"/>
      <c r="U699" s="10" t="str">
        <f t="shared" ref="U699:U700" si="227">HYPERLINK("https://pbs.twimg.com/profile_images/1061229593758257153/rePCQt08.jpg","View")</f>
        <v>View</v>
      </c>
    </row>
    <row r="700" spans="1:21" ht="71.400000000000006">
      <c r="A700" s="6">
        <v>43422.545787037037</v>
      </c>
      <c r="B700" s="7" t="str">
        <f t="shared" si="226"/>
        <v>@lunadebenidorm</v>
      </c>
      <c r="C700" s="8" t="s">
        <v>106</v>
      </c>
      <c r="D700" s="9" t="s">
        <v>2438</v>
      </c>
      <c r="E700" s="10" t="str">
        <f>HYPERLINK("https://twitter.com/lunadebenidorm/status/1064127565013635073","1064127565013635073")</f>
        <v>1064127565013635073</v>
      </c>
      <c r="F700" s="12"/>
      <c r="G700" s="11" t="s">
        <v>2439</v>
      </c>
      <c r="H700" s="12"/>
      <c r="I700" s="13">
        <v>0</v>
      </c>
      <c r="J700" s="13">
        <v>0</v>
      </c>
      <c r="K700" s="14" t="str">
        <f t="shared" si="225"/>
        <v>Twitter for Android</v>
      </c>
      <c r="L700" s="13">
        <v>3991</v>
      </c>
      <c r="M700" s="13">
        <v>3978</v>
      </c>
      <c r="N700" s="13">
        <v>79</v>
      </c>
      <c r="O700" s="15"/>
      <c r="P700" s="6">
        <v>41461.81186342593</v>
      </c>
      <c r="Q700" s="12"/>
      <c r="R700" s="17" t="s">
        <v>108</v>
      </c>
      <c r="S700" s="12"/>
      <c r="T700" s="12"/>
      <c r="U700" s="10" t="str">
        <f t="shared" si="227"/>
        <v>View</v>
      </c>
    </row>
    <row r="701" spans="1:21" ht="30.6">
      <c r="A701" s="6">
        <v>43422.541226851856</v>
      </c>
      <c r="B701" s="7" t="str">
        <f>HYPERLINK("https://twitter.com/ErnestoBartlett","@ErnestoBartlett")</f>
        <v>@ErnestoBartlett</v>
      </c>
      <c r="C701" s="8" t="s">
        <v>2440</v>
      </c>
      <c r="D701" s="9" t="s">
        <v>2441</v>
      </c>
      <c r="E701" s="10" t="str">
        <f>HYPERLINK("https://twitter.com/ErnestoBartlett/status/1064125913690976261","1064125913690976261")</f>
        <v>1064125913690976261</v>
      </c>
      <c r="F701" s="12"/>
      <c r="G701" s="12"/>
      <c r="H701" s="12"/>
      <c r="I701" s="13">
        <v>1</v>
      </c>
      <c r="J701" s="13">
        <v>0</v>
      </c>
      <c r="K701" s="14" t="str">
        <f t="shared" si="225"/>
        <v>Twitter for Android</v>
      </c>
      <c r="L701" s="13">
        <v>2444</v>
      </c>
      <c r="M701" s="13">
        <v>1207</v>
      </c>
      <c r="N701" s="13">
        <v>22</v>
      </c>
      <c r="O701" s="15"/>
      <c r="P701" s="6">
        <v>41441.940486111111</v>
      </c>
      <c r="Q701" s="16" t="s">
        <v>2442</v>
      </c>
      <c r="R701" s="17" t="s">
        <v>2443</v>
      </c>
      <c r="S701" s="12"/>
      <c r="T701" s="12"/>
      <c r="U701" s="10" t="str">
        <f>HYPERLINK("https://pbs.twimg.com/profile_images/1042730919130529793/EY37Vm1s.jpg","View")</f>
        <v>View</v>
      </c>
    </row>
    <row r="702" spans="1:21" ht="40.799999999999997">
      <c r="A702" s="6">
        <v>43422.541076388894</v>
      </c>
      <c r="B702" s="7" t="str">
        <f>HYPERLINK("https://twitter.com/lunadebenidorm","@lunadebenidorm")</f>
        <v>@lunadebenidorm</v>
      </c>
      <c r="C702" s="8" t="s">
        <v>106</v>
      </c>
      <c r="D702" s="9" t="s">
        <v>2444</v>
      </c>
      <c r="E702" s="10" t="str">
        <f>HYPERLINK("https://twitter.com/lunadebenidorm/status/1064125857965449216","1064125857965449216")</f>
        <v>1064125857965449216</v>
      </c>
      <c r="F702" s="12"/>
      <c r="G702" s="11" t="s">
        <v>2445</v>
      </c>
      <c r="H702" s="12"/>
      <c r="I702" s="13">
        <v>0</v>
      </c>
      <c r="J702" s="13">
        <v>0</v>
      </c>
      <c r="K702" s="14" t="str">
        <f t="shared" si="225"/>
        <v>Twitter for Android</v>
      </c>
      <c r="L702" s="13">
        <v>3991</v>
      </c>
      <c r="M702" s="13">
        <v>3978</v>
      </c>
      <c r="N702" s="13">
        <v>79</v>
      </c>
      <c r="O702" s="15"/>
      <c r="P702" s="6">
        <v>41461.81186342593</v>
      </c>
      <c r="Q702" s="12"/>
      <c r="R702" s="17" t="s">
        <v>108</v>
      </c>
      <c r="S702" s="12"/>
      <c r="T702" s="12"/>
      <c r="U702" s="10" t="str">
        <f>HYPERLINK("https://pbs.twimg.com/profile_images/1061229593758257153/rePCQt08.jpg","View")</f>
        <v>View</v>
      </c>
    </row>
    <row r="703" spans="1:21" ht="81.599999999999994">
      <c r="A703" s="6">
        <v>43422.539351851854</v>
      </c>
      <c r="B703" s="7" t="str">
        <f>HYPERLINK("https://twitter.com/NeroPaddilla","@NeroPaddilla")</f>
        <v>@NeroPaddilla</v>
      </c>
      <c r="C703" s="8" t="s">
        <v>1546</v>
      </c>
      <c r="D703" s="9" t="s">
        <v>2446</v>
      </c>
      <c r="E703" s="10" t="str">
        <f>HYPERLINK("https://twitter.com/NeroPaddilla/status/1064125232850632706","1064125232850632706")</f>
        <v>1064125232850632706</v>
      </c>
      <c r="F703" s="11" t="s">
        <v>2447</v>
      </c>
      <c r="G703" s="11" t="s">
        <v>2448</v>
      </c>
      <c r="H703" s="12"/>
      <c r="I703" s="13">
        <v>0</v>
      </c>
      <c r="J703" s="13">
        <v>0</v>
      </c>
      <c r="K703" s="14" t="str">
        <f>HYPERLINK("http://twitter.com","Twitter Web Client")</f>
        <v>Twitter Web Client</v>
      </c>
      <c r="L703" s="13">
        <v>530</v>
      </c>
      <c r="M703" s="13">
        <v>1145</v>
      </c>
      <c r="N703" s="13">
        <v>0</v>
      </c>
      <c r="O703" s="15"/>
      <c r="P703" s="6">
        <v>43177.728159722217</v>
      </c>
      <c r="Q703" s="12"/>
      <c r="R703" s="21"/>
      <c r="S703" s="12"/>
      <c r="T703" s="12"/>
      <c r="U703" s="10" t="str">
        <f>HYPERLINK("https://pbs.twimg.com/profile_images/975414123369500672/1Q9skH_w.jpg","View")</f>
        <v>View</v>
      </c>
    </row>
    <row r="704" spans="1:21" ht="40.799999999999997">
      <c r="A704" s="6">
        <v>43422.537905092591</v>
      </c>
      <c r="B704" s="7" t="str">
        <f>HYPERLINK("https://twitter.com/EsojSabir","@EsojSabir")</f>
        <v>@EsojSabir</v>
      </c>
      <c r="C704" s="8" t="s">
        <v>2449</v>
      </c>
      <c r="D704" s="9" t="s">
        <v>2450</v>
      </c>
      <c r="E704" s="10" t="str">
        <f>HYPERLINK("https://twitter.com/EsojSabir/status/1064124709351157760","1064124709351157760")</f>
        <v>1064124709351157760</v>
      </c>
      <c r="F704" s="11" t="s">
        <v>2451</v>
      </c>
      <c r="G704" s="12"/>
      <c r="H704" s="12"/>
      <c r="I704" s="13">
        <v>1</v>
      </c>
      <c r="J704" s="13">
        <v>0</v>
      </c>
      <c r="K704" s="14" t="str">
        <f t="shared" ref="K704:K705" si="228">HYPERLINK("http://twitter.com/download/iphone","Twitter for iPhone")</f>
        <v>Twitter for iPhone</v>
      </c>
      <c r="L704" s="13">
        <v>542</v>
      </c>
      <c r="M704" s="13">
        <v>956</v>
      </c>
      <c r="N704" s="13">
        <v>4</v>
      </c>
      <c r="O704" s="15"/>
      <c r="P704" s="6">
        <v>40801.47246527778</v>
      </c>
      <c r="Q704" s="16" t="s">
        <v>571</v>
      </c>
      <c r="R704" s="17" t="s">
        <v>2452</v>
      </c>
      <c r="S704" s="12"/>
      <c r="T704" s="12"/>
      <c r="U704" s="10" t="str">
        <f>HYPERLINK("https://pbs.twimg.com/profile_images/648536228791459840/34hQ0gLu.jpg","View")</f>
        <v>View</v>
      </c>
    </row>
    <row r="705" spans="1:21" ht="112.2">
      <c r="A705" s="6">
        <v>43422.525023148148</v>
      </c>
      <c r="B705" s="7" t="str">
        <f>HYPERLINK("https://twitter.com/Angel_Esojo","@Angel_Esojo")</f>
        <v>@Angel_Esojo</v>
      </c>
      <c r="C705" s="8" t="s">
        <v>792</v>
      </c>
      <c r="D705" s="9" t="s">
        <v>2453</v>
      </c>
      <c r="E705" s="10" t="str">
        <f>HYPERLINK("https://twitter.com/Angel_Esojo/status/1064120037596938240","1064120037596938240")</f>
        <v>1064120037596938240</v>
      </c>
      <c r="F705" s="11" t="s">
        <v>2454</v>
      </c>
      <c r="G705" s="11" t="s">
        <v>2455</v>
      </c>
      <c r="H705" s="12"/>
      <c r="I705" s="13">
        <v>1</v>
      </c>
      <c r="J705" s="13">
        <v>2</v>
      </c>
      <c r="K705" s="14" t="str">
        <f t="shared" si="228"/>
        <v>Twitter for iPhone</v>
      </c>
      <c r="L705" s="13">
        <v>3600</v>
      </c>
      <c r="M705" s="13">
        <v>790</v>
      </c>
      <c r="N705" s="13">
        <v>102</v>
      </c>
      <c r="O705" s="15"/>
      <c r="P705" s="6">
        <v>40814.799351851849</v>
      </c>
      <c r="Q705" s="16" t="s">
        <v>795</v>
      </c>
      <c r="R705" s="17" t="s">
        <v>796</v>
      </c>
      <c r="S705" s="11" t="s">
        <v>797</v>
      </c>
      <c r="T705" s="12"/>
      <c r="U705" s="10" t="str">
        <f>HYPERLINK("https://pbs.twimg.com/profile_images/988732473734565888/27MAMcVF.jpg","View")</f>
        <v>View</v>
      </c>
    </row>
    <row r="706" spans="1:21" ht="51">
      <c r="A706" s="6">
        <v>43422.510069444441</v>
      </c>
      <c r="B706" s="7" t="str">
        <f>HYPERLINK("https://twitter.com/mavemarr","@mavemarr")</f>
        <v>@mavemarr</v>
      </c>
      <c r="C706" s="8" t="s">
        <v>2459</v>
      </c>
      <c r="D706" s="9" t="s">
        <v>2460</v>
      </c>
      <c r="E706" s="10" t="str">
        <f>HYPERLINK("https://twitter.com/mavemarr/status/1064114619919335425","1064114619919335425")</f>
        <v>1064114619919335425</v>
      </c>
      <c r="F706" s="12"/>
      <c r="G706" s="11" t="s">
        <v>2461</v>
      </c>
      <c r="H706" s="12"/>
      <c r="I706" s="13">
        <v>18</v>
      </c>
      <c r="J706" s="13">
        <v>35</v>
      </c>
      <c r="K706" s="14" t="str">
        <f t="shared" ref="K706:K711" si="229">HYPERLINK("http://twitter.com/download/android","Twitter for Android")</f>
        <v>Twitter for Android</v>
      </c>
      <c r="L706" s="13">
        <v>135</v>
      </c>
      <c r="M706" s="13">
        <v>500</v>
      </c>
      <c r="N706" s="13">
        <v>4</v>
      </c>
      <c r="O706" s="15"/>
      <c r="P706" s="6">
        <v>41659.944340277776</v>
      </c>
      <c r="Q706" s="16" t="s">
        <v>2464</v>
      </c>
      <c r="R706" s="17" t="s">
        <v>2465</v>
      </c>
      <c r="S706" s="11" t="s">
        <v>2466</v>
      </c>
      <c r="T706" s="12"/>
      <c r="U706" s="10" t="str">
        <f>HYPERLINK("https://pbs.twimg.com/profile_images/1017027421068021760/dO9juuFY.jpg","View")</f>
        <v>View</v>
      </c>
    </row>
    <row r="707" spans="1:21" ht="20.399999999999999">
      <c r="A707" s="6">
        <v>43422.496064814812</v>
      </c>
      <c r="B707" s="7" t="str">
        <f>HYPERLINK("https://twitter.com/lunadebenidorm","@lunadebenidorm")</f>
        <v>@lunadebenidorm</v>
      </c>
      <c r="C707" s="8" t="s">
        <v>106</v>
      </c>
      <c r="D707" s="9" t="s">
        <v>2467</v>
      </c>
      <c r="E707" s="10" t="str">
        <f>HYPERLINK("https://twitter.com/lunadebenidorm/status/1064109544102604802","1064109544102604802")</f>
        <v>1064109544102604802</v>
      </c>
      <c r="F707" s="12"/>
      <c r="G707" s="11" t="s">
        <v>2468</v>
      </c>
      <c r="H707" s="12"/>
      <c r="I707" s="13">
        <v>0</v>
      </c>
      <c r="J707" s="13">
        <v>0</v>
      </c>
      <c r="K707" s="14" t="str">
        <f t="shared" si="229"/>
        <v>Twitter for Android</v>
      </c>
      <c r="L707" s="13">
        <v>3991</v>
      </c>
      <c r="M707" s="13">
        <v>3978</v>
      </c>
      <c r="N707" s="13">
        <v>79</v>
      </c>
      <c r="O707" s="15"/>
      <c r="P707" s="6">
        <v>41461.81186342593</v>
      </c>
      <c r="Q707" s="12"/>
      <c r="R707" s="17" t="s">
        <v>108</v>
      </c>
      <c r="S707" s="12"/>
      <c r="T707" s="12"/>
      <c r="U707" s="10" t="str">
        <f>HYPERLINK("https://pbs.twimg.com/profile_images/1061229593758257153/rePCQt08.jpg","View")</f>
        <v>View</v>
      </c>
    </row>
    <row r="708" spans="1:21" ht="40.799999999999997">
      <c r="A708" s="6">
        <v>43422.492384259254</v>
      </c>
      <c r="B708" s="7" t="str">
        <f>HYPERLINK("https://twitter.com/Maximo126788","@Maximo126788")</f>
        <v>@Maximo126788</v>
      </c>
      <c r="C708" s="8" t="s">
        <v>2469</v>
      </c>
      <c r="D708" s="9" t="s">
        <v>2470</v>
      </c>
      <c r="E708" s="10" t="str">
        <f>HYPERLINK("https://twitter.com/Maximo126788/status/1064108211953967110","1064108211953967110")</f>
        <v>1064108211953967110</v>
      </c>
      <c r="F708" s="12"/>
      <c r="G708" s="12"/>
      <c r="H708" s="12"/>
      <c r="I708" s="13">
        <v>1</v>
      </c>
      <c r="J708" s="13">
        <v>1</v>
      </c>
      <c r="K708" s="14" t="str">
        <f t="shared" si="229"/>
        <v>Twitter for Android</v>
      </c>
      <c r="L708" s="13">
        <v>244</v>
      </c>
      <c r="M708" s="13">
        <v>553</v>
      </c>
      <c r="N708" s="13">
        <v>0</v>
      </c>
      <c r="O708" s="15"/>
      <c r="P708" s="6">
        <v>43259.982673611114</v>
      </c>
      <c r="Q708" s="16" t="s">
        <v>2471</v>
      </c>
      <c r="R708" s="17" t="s">
        <v>2472</v>
      </c>
      <c r="S708" s="12"/>
      <c r="T708" s="12"/>
      <c r="U708" s="10" t="str">
        <f>HYPERLINK("https://pbs.twimg.com/profile_images/1055153633401155587/gH5k8prN.jpg","View")</f>
        <v>View</v>
      </c>
    </row>
    <row r="709" spans="1:21" ht="40.799999999999997">
      <c r="A709" s="6">
        <v>43422.490312499998</v>
      </c>
      <c r="B709" s="7" t="str">
        <f>HYPERLINK("https://twitter.com/Manelic72","@Manelic72")</f>
        <v>@Manelic72</v>
      </c>
      <c r="C709" s="8" t="s">
        <v>2947</v>
      </c>
      <c r="D709" s="9" t="s">
        <v>2948</v>
      </c>
      <c r="E709" s="10" t="str">
        <f>HYPERLINK("https://twitter.com/Manelic72/status/1064107460213071873","1064107460213071873")</f>
        <v>1064107460213071873</v>
      </c>
      <c r="F709" s="12"/>
      <c r="G709" s="12"/>
      <c r="H709" s="12"/>
      <c r="I709" s="13">
        <v>0</v>
      </c>
      <c r="J709" s="13">
        <v>0</v>
      </c>
      <c r="K709" s="14" t="str">
        <f t="shared" si="229"/>
        <v>Twitter for Android</v>
      </c>
      <c r="L709" s="13">
        <v>197</v>
      </c>
      <c r="M709" s="13">
        <v>166</v>
      </c>
      <c r="N709" s="13">
        <v>13</v>
      </c>
      <c r="O709" s="15"/>
      <c r="P709" s="6">
        <v>40630.573993055557</v>
      </c>
      <c r="Q709" s="16" t="s">
        <v>351</v>
      </c>
      <c r="R709" s="17" t="s">
        <v>2952</v>
      </c>
      <c r="S709" s="12"/>
      <c r="T709" s="12"/>
      <c r="U709" s="10" t="str">
        <f>HYPERLINK("https://pbs.twimg.com/profile_images/1038338728614342656/BX7RUDSI.jpg","View")</f>
        <v>View</v>
      </c>
    </row>
    <row r="710" spans="1:21" ht="20.399999999999999">
      <c r="A710" s="6">
        <v>43422.489074074074</v>
      </c>
      <c r="B710" s="7" t="str">
        <f>HYPERLINK("https://twitter.com/diegojurado2665","@diegojurado2665")</f>
        <v>@diegojurado2665</v>
      </c>
      <c r="C710" s="8" t="s">
        <v>2533</v>
      </c>
      <c r="D710" s="9" t="s">
        <v>2954</v>
      </c>
      <c r="E710" s="10" t="str">
        <f>HYPERLINK("https://twitter.com/diegojurado2665/status/1064107012915691521","1064107012915691521")</f>
        <v>1064107012915691521</v>
      </c>
      <c r="F710" s="12"/>
      <c r="G710" s="11" t="s">
        <v>2957</v>
      </c>
      <c r="H710" s="12"/>
      <c r="I710" s="13">
        <v>41</v>
      </c>
      <c r="J710" s="13">
        <v>76</v>
      </c>
      <c r="K710" s="14" t="str">
        <f t="shared" si="229"/>
        <v>Twitter for Android</v>
      </c>
      <c r="L710" s="13">
        <v>150</v>
      </c>
      <c r="M710" s="13">
        <v>226</v>
      </c>
      <c r="N710" s="13">
        <v>0</v>
      </c>
      <c r="O710" s="15"/>
      <c r="P710" s="6">
        <v>42991.689328703702</v>
      </c>
      <c r="Q710" s="16" t="s">
        <v>2959</v>
      </c>
      <c r="R710" s="17" t="s">
        <v>2960</v>
      </c>
      <c r="S710" s="12"/>
      <c r="T710" s="12"/>
      <c r="U710" s="10" t="str">
        <f>HYPERLINK("https://pbs.twimg.com/profile_images/1064653556597383168/n5EgjQ0Y.jpg","View")</f>
        <v>View</v>
      </c>
    </row>
    <row r="711" spans="1:21" ht="71.400000000000006">
      <c r="A711" s="6">
        <v>43422.486539351856</v>
      </c>
      <c r="B711" s="7" t="str">
        <f>HYPERLINK("https://twitter.com/Pepo_Marquez","@Pepo_Marquez")</f>
        <v>@Pepo_Marquez</v>
      </c>
      <c r="C711" s="8" t="s">
        <v>2473</v>
      </c>
      <c r="D711" s="9" t="s">
        <v>2474</v>
      </c>
      <c r="E711" s="10" t="str">
        <f>HYPERLINK("https://twitter.com/Pepo_Marquez/status/1064106092530212864","1064106092530212864")</f>
        <v>1064106092530212864</v>
      </c>
      <c r="F711" s="11" t="s">
        <v>2475</v>
      </c>
      <c r="G711" s="11" t="s">
        <v>2476</v>
      </c>
      <c r="H711" s="12"/>
      <c r="I711" s="13">
        <v>0</v>
      </c>
      <c r="J711" s="13">
        <v>12</v>
      </c>
      <c r="K711" s="14" t="str">
        <f t="shared" si="229"/>
        <v>Twitter for Android</v>
      </c>
      <c r="L711" s="13">
        <v>3452</v>
      </c>
      <c r="M711" s="13">
        <v>2046</v>
      </c>
      <c r="N711" s="13">
        <v>74</v>
      </c>
      <c r="O711" s="15"/>
      <c r="P711" s="6">
        <v>40226.549942129626</v>
      </c>
      <c r="Q711" s="16" t="s">
        <v>644</v>
      </c>
      <c r="R711" s="17" t="s">
        <v>2477</v>
      </c>
      <c r="S711" s="11" t="s">
        <v>2478</v>
      </c>
      <c r="T711" s="12"/>
      <c r="U711" s="10" t="str">
        <f>HYPERLINK("https://pbs.twimg.com/profile_images/886226556519165952/93Zwe4Ca.jpg","View")</f>
        <v>View</v>
      </c>
    </row>
    <row r="712" spans="1:21" ht="51">
      <c r="A712" s="6">
        <v>43422.48609953704</v>
      </c>
      <c r="B712" s="7" t="str">
        <f>HYPERLINK("https://twitter.com/misterdonpablo","@misterdonpablo")</f>
        <v>@misterdonpablo</v>
      </c>
      <c r="C712" s="8" t="s">
        <v>2479</v>
      </c>
      <c r="D712" s="9" t="s">
        <v>2480</v>
      </c>
      <c r="E712" s="10" t="str">
        <f>HYPERLINK("https://twitter.com/misterdonpablo/status/1064105935650648065","1064105935650648065")</f>
        <v>1064105935650648065</v>
      </c>
      <c r="F712" s="12"/>
      <c r="G712" s="12"/>
      <c r="H712" s="12"/>
      <c r="I712" s="13">
        <v>59</v>
      </c>
      <c r="J712" s="13">
        <v>80</v>
      </c>
      <c r="K712" s="14" t="str">
        <f>HYPERLINK("http://twitter.com/download/iphone","Twitter for iPhone")</f>
        <v>Twitter for iPhone</v>
      </c>
      <c r="L712" s="13">
        <v>7841</v>
      </c>
      <c r="M712" s="13">
        <v>8515</v>
      </c>
      <c r="N712" s="13">
        <v>15</v>
      </c>
      <c r="O712" s="15"/>
      <c r="P712" s="6">
        <v>42242.962083333332</v>
      </c>
      <c r="Q712" s="12"/>
      <c r="R712" s="21"/>
      <c r="S712" s="12"/>
      <c r="T712" s="12"/>
      <c r="U712" s="10" t="str">
        <f>HYPERLINK("https://pbs.twimg.com/profile_images/636646791878995969/Fpg5rJ84.jpg","View")</f>
        <v>View</v>
      </c>
    </row>
    <row r="713" spans="1:21" ht="40.799999999999997">
      <c r="A713" s="6">
        <v>43422.482962962968</v>
      </c>
      <c r="B713" s="7" t="str">
        <f>HYPERLINK("https://twitter.com/segovia_memes","@segovia_memes")</f>
        <v>@segovia_memes</v>
      </c>
      <c r="C713" s="8" t="s">
        <v>2972</v>
      </c>
      <c r="D713" s="9" t="s">
        <v>2973</v>
      </c>
      <c r="E713" s="10" t="str">
        <f>HYPERLINK("https://twitter.com/segovia_memes/status/1064104796431503361","1064104796431503361")</f>
        <v>1064104796431503361</v>
      </c>
      <c r="F713" s="11" t="s">
        <v>2975</v>
      </c>
      <c r="G713" s="11" t="s">
        <v>2976</v>
      </c>
      <c r="H713" s="12"/>
      <c r="I713" s="13">
        <v>0</v>
      </c>
      <c r="J713" s="13">
        <v>0</v>
      </c>
      <c r="K713" s="14" t="str">
        <f t="shared" ref="K713:K716" si="230">HYPERLINK("http://twitter.com/download/android","Twitter for Android")</f>
        <v>Twitter for Android</v>
      </c>
      <c r="L713" s="13">
        <v>280</v>
      </c>
      <c r="M713" s="13">
        <v>220</v>
      </c>
      <c r="N713" s="13">
        <v>1</v>
      </c>
      <c r="O713" s="15"/>
      <c r="P713" s="6">
        <v>43172.862812499996</v>
      </c>
      <c r="Q713" s="16" t="s">
        <v>2978</v>
      </c>
      <c r="R713" s="17" t="s">
        <v>2979</v>
      </c>
      <c r="S713" s="12"/>
      <c r="T713" s="12"/>
      <c r="U713" s="10" t="str">
        <f>HYPERLINK("https://pbs.twimg.com/profile_images/1061688057882206211/14Ao7DJZ.jpg","View")</f>
        <v>View</v>
      </c>
    </row>
    <row r="714" spans="1:21" ht="30.6">
      <c r="A714" s="6">
        <v>43422.482893518521</v>
      </c>
      <c r="B714" s="7" t="str">
        <f>HYPERLINK("https://twitter.com/Santi_ABASCAL","@Santi_ABASCAL")</f>
        <v>@Santi_ABASCAL</v>
      </c>
      <c r="C714" s="8" t="s">
        <v>182</v>
      </c>
      <c r="D714" s="9" t="s">
        <v>2981</v>
      </c>
      <c r="E714" s="10" t="str">
        <f>HYPERLINK("https://twitter.com/Santi_ABASCAL/status/1064104771580248064","1064104771580248064")</f>
        <v>1064104771580248064</v>
      </c>
      <c r="F714" s="12"/>
      <c r="G714" s="11" t="s">
        <v>2984</v>
      </c>
      <c r="H714" s="12"/>
      <c r="I714" s="13">
        <v>893</v>
      </c>
      <c r="J714" s="13">
        <v>1991</v>
      </c>
      <c r="K714" s="14" t="str">
        <f t="shared" si="230"/>
        <v>Twitter for Android</v>
      </c>
      <c r="L714" s="13">
        <v>117602</v>
      </c>
      <c r="M714" s="13">
        <v>3896</v>
      </c>
      <c r="N714" s="13">
        <v>915</v>
      </c>
      <c r="O714" s="23" t="s">
        <v>186</v>
      </c>
      <c r="P714" s="6">
        <v>40606.716446759259</v>
      </c>
      <c r="Q714" s="16" t="s">
        <v>188</v>
      </c>
      <c r="R714" s="17" t="s">
        <v>189</v>
      </c>
      <c r="S714" s="11" t="s">
        <v>190</v>
      </c>
      <c r="T714" s="12"/>
      <c r="U714" s="10" t="str">
        <f>HYPERLINK("https://pbs.twimg.com/profile_images/1010488787686879232/2CnqYKlD.jpg","View")</f>
        <v>View</v>
      </c>
    </row>
    <row r="715" spans="1:21" ht="40.799999999999997">
      <c r="A715" s="6">
        <v>43422.473680555559</v>
      </c>
      <c r="B715" s="7" t="str">
        <f>HYPERLINK("https://twitter.com/ava88amor","@ava88amor")</f>
        <v>@ava88amor</v>
      </c>
      <c r="C715" s="8" t="s">
        <v>2481</v>
      </c>
      <c r="D715" s="9" t="s">
        <v>2482</v>
      </c>
      <c r="E715" s="10" t="str">
        <f>HYPERLINK("https://twitter.com/ava88amor/status/1064101432608079872","1064101432608079872")</f>
        <v>1064101432608079872</v>
      </c>
      <c r="F715" s="12"/>
      <c r="G715" s="12"/>
      <c r="H715" s="12"/>
      <c r="I715" s="13">
        <v>0</v>
      </c>
      <c r="J715" s="13">
        <v>0</v>
      </c>
      <c r="K715" s="14" t="str">
        <f t="shared" si="230"/>
        <v>Twitter for Android</v>
      </c>
      <c r="L715" s="13">
        <v>62</v>
      </c>
      <c r="M715" s="13">
        <v>324</v>
      </c>
      <c r="N715" s="13">
        <v>0</v>
      </c>
      <c r="O715" s="15"/>
      <c r="P715" s="6">
        <v>43205.126400462963</v>
      </c>
      <c r="Q715" s="16" t="s">
        <v>2483</v>
      </c>
      <c r="R715" s="17" t="s">
        <v>2484</v>
      </c>
      <c r="S715" s="12"/>
      <c r="T715" s="12"/>
      <c r="U715" s="10" t="str">
        <f>HYPERLINK("https://pbs.twimg.com/profile_images/985326195188359168/DEQUYhjl.jpg","View")</f>
        <v>View</v>
      </c>
    </row>
    <row r="716" spans="1:21" ht="30.6">
      <c r="A716" s="6">
        <v>43422.471817129626</v>
      </c>
      <c r="B716" s="7" t="str">
        <f>HYPERLINK("https://twitter.com/lunadebenidorm","@lunadebenidorm")</f>
        <v>@lunadebenidorm</v>
      </c>
      <c r="C716" s="8" t="s">
        <v>106</v>
      </c>
      <c r="D716" s="9" t="s">
        <v>2491</v>
      </c>
      <c r="E716" s="10" t="str">
        <f>HYPERLINK("https://twitter.com/lunadebenidorm/status/1064100756746317825","1064100756746317825")</f>
        <v>1064100756746317825</v>
      </c>
      <c r="F716" s="12"/>
      <c r="G716" s="11" t="s">
        <v>2492</v>
      </c>
      <c r="H716" s="12"/>
      <c r="I716" s="13">
        <v>0</v>
      </c>
      <c r="J716" s="13">
        <v>0</v>
      </c>
      <c r="K716" s="14" t="str">
        <f t="shared" si="230"/>
        <v>Twitter for Android</v>
      </c>
      <c r="L716" s="13">
        <v>3991</v>
      </c>
      <c r="M716" s="13">
        <v>3978</v>
      </c>
      <c r="N716" s="13">
        <v>79</v>
      </c>
      <c r="O716" s="15"/>
      <c r="P716" s="6">
        <v>41461.81186342593</v>
      </c>
      <c r="Q716" s="12"/>
      <c r="R716" s="17" t="s">
        <v>108</v>
      </c>
      <c r="S716" s="12"/>
      <c r="T716" s="12"/>
      <c r="U716" s="10" t="str">
        <f>HYPERLINK("https://pbs.twimg.com/profile_images/1061229593758257153/rePCQt08.jpg","View")</f>
        <v>View</v>
      </c>
    </row>
    <row r="717" spans="1:21" ht="30.6">
      <c r="A717" s="6">
        <v>43422.466886574075</v>
      </c>
      <c r="B717" s="7" t="str">
        <f>HYPERLINK("https://twitter.com/JAdelValleRubio","@JAdelValleRubio")</f>
        <v>@JAdelValleRubio</v>
      </c>
      <c r="C717" s="8" t="s">
        <v>2998</v>
      </c>
      <c r="D717" s="9" t="s">
        <v>2999</v>
      </c>
      <c r="E717" s="10" t="str">
        <f>HYPERLINK("https://twitter.com/JAdelValleRubio/status/1064098969607917568","1064098969607917568")</f>
        <v>1064098969607917568</v>
      </c>
      <c r="F717" s="12"/>
      <c r="G717" s="12"/>
      <c r="H717" s="12"/>
      <c r="I717" s="13">
        <v>0</v>
      </c>
      <c r="J717" s="13">
        <v>1</v>
      </c>
      <c r="K717" s="14" t="str">
        <f>HYPERLINK("https://mobile.twitter.com","Twitter Lite")</f>
        <v>Twitter Lite</v>
      </c>
      <c r="L717" s="13">
        <v>693</v>
      </c>
      <c r="M717" s="13">
        <v>920</v>
      </c>
      <c r="N717" s="13">
        <v>21</v>
      </c>
      <c r="O717" s="15"/>
      <c r="P717" s="6">
        <v>40326.13957175926</v>
      </c>
      <c r="Q717" s="16" t="s">
        <v>3001</v>
      </c>
      <c r="R717" s="17" t="s">
        <v>3002</v>
      </c>
      <c r="S717" s="11" t="s">
        <v>3003</v>
      </c>
      <c r="T717" s="12"/>
      <c r="U717" s="10" t="str">
        <f>HYPERLINK("https://pbs.twimg.com/profile_images/947225918711500800/LB755l99.jpg","View")</f>
        <v>View</v>
      </c>
    </row>
    <row r="718" spans="1:21" ht="91.8">
      <c r="A718" s="6">
        <v>43422.46601851852</v>
      </c>
      <c r="B718" s="7" t="str">
        <f>HYPERLINK("https://twitter.com/GeorgeBailey_17","@GeorgeBailey_17")</f>
        <v>@GeorgeBailey_17</v>
      </c>
      <c r="C718" s="8" t="s">
        <v>2493</v>
      </c>
      <c r="D718" s="9" t="s">
        <v>2494</v>
      </c>
      <c r="E718" s="10" t="str">
        <f>HYPERLINK("https://twitter.com/GeorgeBailey_17/status/1064098655177707520","1064098655177707520")</f>
        <v>1064098655177707520</v>
      </c>
      <c r="F718" s="16" t="s">
        <v>2495</v>
      </c>
      <c r="G718" s="12"/>
      <c r="H718" s="12"/>
      <c r="I718" s="13">
        <v>0</v>
      </c>
      <c r="J718" s="13">
        <v>0</v>
      </c>
      <c r="K718" s="14" t="str">
        <f>HYPERLINK("http://twitter.com/download/android","Twitter for Android")</f>
        <v>Twitter for Android</v>
      </c>
      <c r="L718" s="13">
        <v>95</v>
      </c>
      <c r="M718" s="13">
        <v>120</v>
      </c>
      <c r="N718" s="13">
        <v>0</v>
      </c>
      <c r="O718" s="15"/>
      <c r="P718" s="6">
        <v>42744.405405092592</v>
      </c>
      <c r="Q718" s="16" t="s">
        <v>2496</v>
      </c>
      <c r="R718" s="21"/>
      <c r="S718" s="12"/>
      <c r="T718" s="12"/>
      <c r="U718" s="10" t="str">
        <f>HYPERLINK("https://pbs.twimg.com/profile_images/818379356531818497/qGNwhWu6.jpg","View")</f>
        <v>View</v>
      </c>
    </row>
    <row r="719" spans="1:21" ht="91.8">
      <c r="A719" s="6">
        <v>43422.458645833336</v>
      </c>
      <c r="B719" s="7" t="str">
        <f>HYPERLINK("https://twitter.com/moislap","@moislap")</f>
        <v>@moislap</v>
      </c>
      <c r="C719" s="8" t="s">
        <v>2497</v>
      </c>
      <c r="D719" s="9" t="s">
        <v>2498</v>
      </c>
      <c r="E719" s="10" t="str">
        <f>HYPERLINK("https://twitter.com/moislap/status/1064095987109642240","1064095987109642240")</f>
        <v>1064095987109642240</v>
      </c>
      <c r="F719" s="16" t="s">
        <v>2499</v>
      </c>
      <c r="G719" s="12"/>
      <c r="H719" s="12"/>
      <c r="I719" s="13">
        <v>1</v>
      </c>
      <c r="J719" s="13">
        <v>0</v>
      </c>
      <c r="K719" s="14" t="str">
        <f>HYPERLINK("http://twitter.com/download/iphone","Twitter for iPhone")</f>
        <v>Twitter for iPhone</v>
      </c>
      <c r="L719" s="13">
        <v>32</v>
      </c>
      <c r="M719" s="13">
        <v>47</v>
      </c>
      <c r="N719" s="13">
        <v>0</v>
      </c>
      <c r="O719" s="15"/>
      <c r="P719" s="6">
        <v>40787.62709490741</v>
      </c>
      <c r="Q719" s="16" t="s">
        <v>111</v>
      </c>
      <c r="R719" s="21"/>
      <c r="S719" s="12"/>
      <c r="T719" s="12"/>
      <c r="U719" s="10" t="str">
        <f>HYPERLINK("https://pbs.twimg.com/profile_images/722391159486681088/p5dV-8lc.jpg","View")</f>
        <v>View</v>
      </c>
    </row>
    <row r="720" spans="1:21" ht="30.6">
      <c r="A720" s="6">
        <v>43422.457268518519</v>
      </c>
      <c r="B720" s="7" t="str">
        <f>HYPERLINK("https://twitter.com/Scoutt36","@Scoutt36")</f>
        <v>@Scoutt36</v>
      </c>
      <c r="C720" s="8" t="s">
        <v>2500</v>
      </c>
      <c r="D720" s="9" t="s">
        <v>2501</v>
      </c>
      <c r="E720" s="10" t="str">
        <f>HYPERLINK("https://twitter.com/Scoutt36/status/1064095487370948608","1064095487370948608")</f>
        <v>1064095487370948608</v>
      </c>
      <c r="F720" s="12"/>
      <c r="G720" s="11" t="s">
        <v>2502</v>
      </c>
      <c r="H720" s="12"/>
      <c r="I720" s="13">
        <v>0</v>
      </c>
      <c r="J720" s="13">
        <v>3</v>
      </c>
      <c r="K720" s="14" t="str">
        <f t="shared" ref="K720:K724" si="231">HYPERLINK("http://twitter.com/download/android","Twitter for Android")</f>
        <v>Twitter for Android</v>
      </c>
      <c r="L720" s="13">
        <v>255</v>
      </c>
      <c r="M720" s="13">
        <v>128</v>
      </c>
      <c r="N720" s="13">
        <v>1</v>
      </c>
      <c r="O720" s="15"/>
      <c r="P720" s="6">
        <v>43387.722129629634</v>
      </c>
      <c r="Q720" s="16" t="s">
        <v>1204</v>
      </c>
      <c r="R720" s="17" t="s">
        <v>2503</v>
      </c>
      <c r="S720" s="12"/>
      <c r="T720" s="12"/>
      <c r="U720" s="10" t="str">
        <f>HYPERLINK("https://pbs.twimg.com/profile_images/1059385142022672384/AqEAXD8_.jpg","View")</f>
        <v>View</v>
      </c>
    </row>
    <row r="721" spans="1:21" ht="40.799999999999997">
      <c r="A721" s="6">
        <v>43422.452719907407</v>
      </c>
      <c r="B721" s="7" t="str">
        <f>HYPERLINK("https://twitter.com/ATENHEA1","@ATENHEA1")</f>
        <v>@ATENHEA1</v>
      </c>
      <c r="C721" s="8" t="s">
        <v>2504</v>
      </c>
      <c r="D721" s="9" t="s">
        <v>2505</v>
      </c>
      <c r="E721" s="10" t="str">
        <f>HYPERLINK("https://twitter.com/ATENHEA1/status/1064093837273063424","1064093837273063424")</f>
        <v>1064093837273063424</v>
      </c>
      <c r="F721" s="11" t="s">
        <v>1537</v>
      </c>
      <c r="G721" s="12"/>
      <c r="H721" s="12"/>
      <c r="I721" s="13">
        <v>1</v>
      </c>
      <c r="J721" s="13">
        <v>0</v>
      </c>
      <c r="K721" s="14" t="str">
        <f t="shared" si="231"/>
        <v>Twitter for Android</v>
      </c>
      <c r="L721" s="13">
        <v>2396</v>
      </c>
      <c r="M721" s="13">
        <v>2331</v>
      </c>
      <c r="N721" s="13">
        <v>29</v>
      </c>
      <c r="O721" s="15"/>
      <c r="P721" s="6">
        <v>41168.46802083333</v>
      </c>
      <c r="Q721" s="16" t="s">
        <v>188</v>
      </c>
      <c r="R721" s="17" t="s">
        <v>2506</v>
      </c>
      <c r="S721" s="12"/>
      <c r="T721" s="12"/>
      <c r="U721" s="10" t="str">
        <f>HYPERLINK("https://pbs.twimg.com/profile_images/1015892675051089920/HrpuH8uj.jpg","View")</f>
        <v>View</v>
      </c>
    </row>
    <row r="722" spans="1:21" ht="20.399999999999999">
      <c r="A722" s="6">
        <v>43422.447777777779</v>
      </c>
      <c r="B722" s="7" t="str">
        <f>HYPERLINK("https://twitter.com/vamoknosvamos","@vamoknosvamos")</f>
        <v>@vamoknosvamos</v>
      </c>
      <c r="C722" s="8" t="s">
        <v>2507</v>
      </c>
      <c r="D722" s="9" t="s">
        <v>2508</v>
      </c>
      <c r="E722" s="10" t="str">
        <f>HYPERLINK("https://twitter.com/vamoknosvamos/status/1064092045411868674","1064092045411868674")</f>
        <v>1064092045411868674</v>
      </c>
      <c r="F722" s="12"/>
      <c r="G722" s="11" t="s">
        <v>2509</v>
      </c>
      <c r="H722" s="12"/>
      <c r="I722" s="13">
        <v>0</v>
      </c>
      <c r="J722" s="13">
        <v>0</v>
      </c>
      <c r="K722" s="14" t="str">
        <f t="shared" si="231"/>
        <v>Twitter for Android</v>
      </c>
      <c r="L722" s="13">
        <v>25</v>
      </c>
      <c r="M722" s="13">
        <v>165</v>
      </c>
      <c r="N722" s="13">
        <v>1</v>
      </c>
      <c r="O722" s="15"/>
      <c r="P722" s="6">
        <v>43358.602962962963</v>
      </c>
      <c r="Q722" s="16" t="s">
        <v>1204</v>
      </c>
      <c r="R722" s="17" t="s">
        <v>2510</v>
      </c>
      <c r="S722" s="12"/>
      <c r="T722" s="12"/>
      <c r="U722" s="10" t="str">
        <f>HYPERLINK("https://pbs.twimg.com/profile_images/1046046014505988096/nglutf_M.jpg","View")</f>
        <v>View</v>
      </c>
    </row>
    <row r="723" spans="1:21" ht="40.799999999999997">
      <c r="A723" s="6">
        <v>43422.4455787037</v>
      </c>
      <c r="B723" s="7" t="str">
        <f>HYPERLINK("https://twitter.com/Miguichiqui","@Miguichiqui")</f>
        <v>@Miguichiqui</v>
      </c>
      <c r="C723" s="8" t="s">
        <v>2511</v>
      </c>
      <c r="D723" s="9" t="s">
        <v>2512</v>
      </c>
      <c r="E723" s="10" t="str">
        <f>HYPERLINK("https://twitter.com/Miguichiqui/status/1064091248250757120","1064091248250757120")</f>
        <v>1064091248250757120</v>
      </c>
      <c r="F723" s="11" t="s">
        <v>2513</v>
      </c>
      <c r="G723" s="11" t="s">
        <v>2514</v>
      </c>
      <c r="H723" s="12"/>
      <c r="I723" s="13">
        <v>1</v>
      </c>
      <c r="J723" s="13">
        <v>3</v>
      </c>
      <c r="K723" s="14" t="str">
        <f t="shared" si="231"/>
        <v>Twitter for Android</v>
      </c>
      <c r="L723" s="13">
        <v>113</v>
      </c>
      <c r="M723" s="13">
        <v>359</v>
      </c>
      <c r="N723" s="13">
        <v>0</v>
      </c>
      <c r="O723" s="15"/>
      <c r="P723" s="6">
        <v>41461.361944444448</v>
      </c>
      <c r="Q723" s="16" t="s">
        <v>2515</v>
      </c>
      <c r="R723" s="17" t="s">
        <v>2516</v>
      </c>
      <c r="S723" s="12"/>
      <c r="T723" s="12"/>
      <c r="U723" s="23" t="s">
        <v>307</v>
      </c>
    </row>
    <row r="724" spans="1:21" ht="20.399999999999999">
      <c r="A724" s="6">
        <v>43422.441979166666</v>
      </c>
      <c r="B724" s="7" t="str">
        <f>HYPERLINK("https://twitter.com/CunadoFacha","@CunadoFacha")</f>
        <v>@CunadoFacha</v>
      </c>
      <c r="C724" s="8" t="s">
        <v>2518</v>
      </c>
      <c r="D724" s="9" t="s">
        <v>2519</v>
      </c>
      <c r="E724" s="10" t="str">
        <f>HYPERLINK("https://twitter.com/CunadoFacha/status/1064089947085463552","1064089947085463552")</f>
        <v>1064089947085463552</v>
      </c>
      <c r="F724" s="12"/>
      <c r="G724" s="12"/>
      <c r="H724" s="12"/>
      <c r="I724" s="13">
        <v>0</v>
      </c>
      <c r="J724" s="13">
        <v>0</v>
      </c>
      <c r="K724" s="14" t="str">
        <f t="shared" si="231"/>
        <v>Twitter for Android</v>
      </c>
      <c r="L724" s="13">
        <v>49</v>
      </c>
      <c r="M724" s="13">
        <v>549</v>
      </c>
      <c r="N724" s="13">
        <v>0</v>
      </c>
      <c r="O724" s="15"/>
      <c r="P724" s="6">
        <v>43396.852314814816</v>
      </c>
      <c r="Q724" s="12"/>
      <c r="R724" s="17" t="s">
        <v>2521</v>
      </c>
      <c r="S724" s="12"/>
      <c r="T724" s="12"/>
      <c r="U724" s="10" t="str">
        <f>HYPERLINK("https://pbs.twimg.com/profile_images/1062040735766249474/ysynqiVy.jpg","View")</f>
        <v>View</v>
      </c>
    </row>
    <row r="725" spans="1:21" ht="30.6">
      <c r="A725" s="6">
        <v>43422.439270833333</v>
      </c>
      <c r="B725" s="7" t="str">
        <f>HYPERLINK("https://twitter.com/Jfdezgo90","@Jfdezgo90")</f>
        <v>@Jfdezgo90</v>
      </c>
      <c r="C725" s="8" t="s">
        <v>2522</v>
      </c>
      <c r="D725" s="9" t="s">
        <v>2523</v>
      </c>
      <c r="E725" s="10" t="str">
        <f>HYPERLINK("https://twitter.com/Jfdezgo90/status/1064088962921373696","1064088962921373696")</f>
        <v>1064088962921373696</v>
      </c>
      <c r="F725" s="12"/>
      <c r="G725" s="12"/>
      <c r="H725" s="12"/>
      <c r="I725" s="13">
        <v>0</v>
      </c>
      <c r="J725" s="13">
        <v>0</v>
      </c>
      <c r="K725" s="14" t="str">
        <f>HYPERLINK("http://twitter.com/download/iphone","Twitter for iPhone")</f>
        <v>Twitter for iPhone</v>
      </c>
      <c r="L725" s="13">
        <v>1899</v>
      </c>
      <c r="M725" s="13">
        <v>4115</v>
      </c>
      <c r="N725" s="13">
        <v>13</v>
      </c>
      <c r="O725" s="15"/>
      <c r="P725" s="6">
        <v>41800.661921296298</v>
      </c>
      <c r="Q725" s="16" t="s">
        <v>2524</v>
      </c>
      <c r="R725" s="17" t="s">
        <v>2525</v>
      </c>
      <c r="S725" s="11" t="s">
        <v>2526</v>
      </c>
      <c r="T725" s="12"/>
      <c r="U725" s="10" t="str">
        <f>HYPERLINK("https://pbs.twimg.com/profile_images/1013847005817442306/8BV0q5Ut.jpg","View")</f>
        <v>View</v>
      </c>
    </row>
    <row r="726" spans="1:21" ht="20.399999999999999">
      <c r="A726" s="6">
        <v>43422.432847222226</v>
      </c>
      <c r="B726" s="7" t="str">
        <f>HYPERLINK("https://twitter.com/Mabe_Fer_","@Mabe_Fer_")</f>
        <v>@Mabe_Fer_</v>
      </c>
      <c r="C726" s="8" t="s">
        <v>594</v>
      </c>
      <c r="D726" s="9" t="s">
        <v>2072</v>
      </c>
      <c r="E726" s="10" t="str">
        <f>HYPERLINK("https://twitter.com/Mabe_Fer_/status/1064086637142073344","1064086637142073344")</f>
        <v>1064086637142073344</v>
      </c>
      <c r="F726" s="11" t="s">
        <v>1156</v>
      </c>
      <c r="G726" s="12"/>
      <c r="H726" s="12"/>
      <c r="I726" s="13">
        <v>7</v>
      </c>
      <c r="J726" s="13">
        <v>5</v>
      </c>
      <c r="K726" s="14" t="str">
        <f>HYPERLINK("http://twitter.com/download/android","Twitter for Android")</f>
        <v>Twitter for Android</v>
      </c>
      <c r="L726" s="13">
        <v>389</v>
      </c>
      <c r="M726" s="13">
        <v>251</v>
      </c>
      <c r="N726" s="13">
        <v>0</v>
      </c>
      <c r="O726" s="15"/>
      <c r="P726" s="6">
        <v>43237.386134259257</v>
      </c>
      <c r="Q726" s="16" t="s">
        <v>596</v>
      </c>
      <c r="R726" s="17" t="s">
        <v>597</v>
      </c>
      <c r="S726" s="12"/>
      <c r="T726" s="12"/>
      <c r="U726" s="10" t="str">
        <f>HYPERLINK("https://pbs.twimg.com/profile_images/1063816291390316544/8Ae4B9b0.jpg","View")</f>
        <v>View</v>
      </c>
    </row>
    <row r="727" spans="1:21" ht="30.6">
      <c r="A727" s="6">
        <v>43422.424074074079</v>
      </c>
      <c r="B727" s="7" t="str">
        <f t="shared" ref="B727:B728" si="232">HYPERLINK("https://twitter.com/TheCormental","@TheCormental")</f>
        <v>@TheCormental</v>
      </c>
      <c r="C727" s="8" t="s">
        <v>3033</v>
      </c>
      <c r="D727" s="9" t="s">
        <v>2101</v>
      </c>
      <c r="E727" s="10" t="str">
        <f>HYPERLINK("https://twitter.com/TheCormental/status/1064083456945152000","1064083456945152000")</f>
        <v>1064083456945152000</v>
      </c>
      <c r="F727" s="11" t="s">
        <v>2104</v>
      </c>
      <c r="G727" s="12"/>
      <c r="H727" s="12"/>
      <c r="I727" s="13">
        <v>0</v>
      </c>
      <c r="J727" s="13">
        <v>0</v>
      </c>
      <c r="K727" s="14" t="str">
        <f t="shared" ref="K727:K728" si="233">HYPERLINK("https://www.google.com/","Google")</f>
        <v>Google</v>
      </c>
      <c r="L727" s="13">
        <v>614</v>
      </c>
      <c r="M727" s="13">
        <v>1180</v>
      </c>
      <c r="N727" s="13">
        <v>69</v>
      </c>
      <c r="O727" s="15"/>
      <c r="P727" s="6">
        <v>41385.54146990741</v>
      </c>
      <c r="Q727" s="16" t="s">
        <v>123</v>
      </c>
      <c r="R727" s="17" t="s">
        <v>3036</v>
      </c>
      <c r="S727" s="11" t="s">
        <v>3037</v>
      </c>
      <c r="T727" s="12"/>
      <c r="U727" s="10" t="str">
        <f t="shared" ref="U727:U728" si="234">HYPERLINK("https://pbs.twimg.com/profile_images/960971237940965376/j3ZMhhtA.jpg","View")</f>
        <v>View</v>
      </c>
    </row>
    <row r="728" spans="1:21" ht="30.6">
      <c r="A728" s="6">
        <v>43422.424039351856</v>
      </c>
      <c r="B728" s="7" t="str">
        <f t="shared" si="232"/>
        <v>@TheCormental</v>
      </c>
      <c r="C728" s="8" t="s">
        <v>3033</v>
      </c>
      <c r="D728" s="9" t="s">
        <v>2101</v>
      </c>
      <c r="E728" s="10" t="str">
        <f>HYPERLINK("https://twitter.com/TheCormental/status/1064083442948861954","1064083442948861954")</f>
        <v>1064083442948861954</v>
      </c>
      <c r="F728" s="11" t="s">
        <v>2104</v>
      </c>
      <c r="G728" s="12"/>
      <c r="H728" s="12"/>
      <c r="I728" s="13">
        <v>0</v>
      </c>
      <c r="J728" s="13">
        <v>0</v>
      </c>
      <c r="K728" s="14" t="str">
        <f t="shared" si="233"/>
        <v>Google</v>
      </c>
      <c r="L728" s="13">
        <v>614</v>
      </c>
      <c r="M728" s="13">
        <v>1180</v>
      </c>
      <c r="N728" s="13">
        <v>69</v>
      </c>
      <c r="O728" s="15"/>
      <c r="P728" s="6">
        <v>41385.54146990741</v>
      </c>
      <c r="Q728" s="16" t="s">
        <v>123</v>
      </c>
      <c r="R728" s="17" t="s">
        <v>3036</v>
      </c>
      <c r="S728" s="11" t="s">
        <v>3037</v>
      </c>
      <c r="T728" s="12"/>
      <c r="U728" s="10" t="str">
        <f t="shared" si="234"/>
        <v>View</v>
      </c>
    </row>
    <row r="729" spans="1:21" ht="30.6">
      <c r="A729" s="6">
        <v>43422.391284722224</v>
      </c>
      <c r="B729" s="7" t="str">
        <f>HYPERLINK("https://twitter.com/pallaron12","@pallaron12")</f>
        <v>@pallaron12</v>
      </c>
      <c r="C729" s="8" t="s">
        <v>487</v>
      </c>
      <c r="D729" s="9" t="s">
        <v>2432</v>
      </c>
      <c r="E729" s="10" t="str">
        <f>HYPERLINK("https://twitter.com/pallaron12/status/1064071576327471105","1064071576327471105")</f>
        <v>1064071576327471105</v>
      </c>
      <c r="F729" s="11" t="s">
        <v>3042</v>
      </c>
      <c r="G729" s="12"/>
      <c r="H729" s="12"/>
      <c r="I729" s="13">
        <v>1</v>
      </c>
      <c r="J729" s="13">
        <v>1</v>
      </c>
      <c r="K729" s="14" t="str">
        <f t="shared" ref="K729:K730" si="235">HYPERLINK("http://twitter.com/download/android","Twitter for Android")</f>
        <v>Twitter for Android</v>
      </c>
      <c r="L729" s="13">
        <v>1412</v>
      </c>
      <c r="M729" s="13">
        <v>501</v>
      </c>
      <c r="N729" s="13">
        <v>8</v>
      </c>
      <c r="O729" s="15"/>
      <c r="P729" s="6">
        <v>41854.66134259259</v>
      </c>
      <c r="Q729" s="16" t="s">
        <v>491</v>
      </c>
      <c r="R729" s="17" t="s">
        <v>492</v>
      </c>
      <c r="S729" s="12"/>
      <c r="T729" s="12"/>
      <c r="U729" s="10" t="str">
        <f>HYPERLINK("https://pbs.twimg.com/profile_images/1064713832633896961/NkwZ7D9D.jpg","View")</f>
        <v>View</v>
      </c>
    </row>
    <row r="730" spans="1:21" ht="81.599999999999994">
      <c r="A730" s="6">
        <v>43422.344074074077</v>
      </c>
      <c r="B730" s="7" t="str">
        <f>HYPERLINK("https://twitter.com/MadDogMLG1976","@MadDogMLG1976")</f>
        <v>@MadDogMLG1976</v>
      </c>
      <c r="C730" s="8" t="s">
        <v>2527</v>
      </c>
      <c r="D730" s="9" t="s">
        <v>2528</v>
      </c>
      <c r="E730" s="10" t="str">
        <f>HYPERLINK("https://twitter.com/MadDogMLG1976/status/1064054463911116800","1064054463911116800")</f>
        <v>1064054463911116800</v>
      </c>
      <c r="F730" s="11" t="s">
        <v>2529</v>
      </c>
      <c r="G730" s="12"/>
      <c r="H730" s="12"/>
      <c r="I730" s="13">
        <v>0</v>
      </c>
      <c r="J730" s="13">
        <v>0</v>
      </c>
      <c r="K730" s="14" t="str">
        <f t="shared" si="235"/>
        <v>Twitter for Android</v>
      </c>
      <c r="L730" s="13">
        <v>2670</v>
      </c>
      <c r="M730" s="13">
        <v>2051</v>
      </c>
      <c r="N730" s="13">
        <v>65</v>
      </c>
      <c r="O730" s="15"/>
      <c r="P730" s="6">
        <v>40568.568090277782</v>
      </c>
      <c r="Q730" s="16" t="s">
        <v>527</v>
      </c>
      <c r="R730" s="17" t="s">
        <v>2530</v>
      </c>
      <c r="S730" s="12"/>
      <c r="T730" s="12"/>
      <c r="U730" s="10" t="str">
        <f>HYPERLINK("https://pbs.twimg.com/profile_images/1053272025303789568/PEnX_a2G.jpg","View")</f>
        <v>View</v>
      </c>
    </row>
    <row r="731" spans="1:21" ht="51">
      <c r="A731" s="6">
        <v>43422.338194444441</v>
      </c>
      <c r="B731" s="7" t="str">
        <f>HYPERLINK("https://twitter.com/trendinaliaES","@trendinaliaES")</f>
        <v>@trendinaliaES</v>
      </c>
      <c r="C731" s="8" t="s">
        <v>265</v>
      </c>
      <c r="D731" s="9" t="s">
        <v>2531</v>
      </c>
      <c r="E731" s="10" t="str">
        <f>HYPERLINK("https://twitter.com/trendinaliaES/status/1064052334919970816","1064052334919970816")</f>
        <v>1064052334919970816</v>
      </c>
      <c r="F731" s="11" t="s">
        <v>2532</v>
      </c>
      <c r="G731" s="12"/>
      <c r="H731" s="12" t="str">
        <f>HYPERLINK("https://ctrlq.org/maps/address/#40.4203,-3.7058","Map")</f>
        <v>Map</v>
      </c>
      <c r="I731" s="13">
        <v>0</v>
      </c>
      <c r="J731" s="13">
        <v>0</v>
      </c>
      <c r="K731" s="14" t="str">
        <f>HYPERLINK("http://laconversa.com","Es Tendencia en España")</f>
        <v>Es Tendencia en España</v>
      </c>
      <c r="L731" s="13">
        <v>49141</v>
      </c>
      <c r="M731" s="13">
        <v>37</v>
      </c>
      <c r="N731" s="13">
        <v>723</v>
      </c>
      <c r="O731" s="23" t="s">
        <v>186</v>
      </c>
      <c r="P731" s="6">
        <v>41319.819074074076</v>
      </c>
      <c r="Q731" s="16" t="s">
        <v>66</v>
      </c>
      <c r="R731" s="17" t="s">
        <v>268</v>
      </c>
      <c r="S731" s="11" t="s">
        <v>269</v>
      </c>
      <c r="T731" s="12"/>
      <c r="U731" s="10" t="str">
        <f>HYPERLINK("https://pbs.twimg.com/profile_images/696485210821632000/xpdMQ_mE.png","View")</f>
        <v>View</v>
      </c>
    </row>
    <row r="732" spans="1:21" ht="61.2">
      <c r="A732" s="6">
        <v>43422.273958333331</v>
      </c>
      <c r="B732" s="7" t="str">
        <f>HYPERLINK("https://twitter.com/riduran_p","@riduran_p")</f>
        <v>@riduran_p</v>
      </c>
      <c r="C732" s="8" t="s">
        <v>2535</v>
      </c>
      <c r="D732" s="9" t="s">
        <v>2536</v>
      </c>
      <c r="E732" s="10" t="str">
        <f>HYPERLINK("https://twitter.com/riduran_p/status/1064029057065590784","1064029057065590784")</f>
        <v>1064029057065590784</v>
      </c>
      <c r="F732" s="12"/>
      <c r="G732" s="11" t="s">
        <v>2540</v>
      </c>
      <c r="H732" s="12"/>
      <c r="I732" s="13">
        <v>2</v>
      </c>
      <c r="J732" s="13">
        <v>5</v>
      </c>
      <c r="K732" s="14" t="str">
        <f>HYPERLINK("http://twitter.com","Twitter Web Client")</f>
        <v>Twitter Web Client</v>
      </c>
      <c r="L732" s="13">
        <v>8433</v>
      </c>
      <c r="M732" s="13">
        <v>7344</v>
      </c>
      <c r="N732" s="13">
        <v>22</v>
      </c>
      <c r="O732" s="15"/>
      <c r="P732" s="6">
        <v>40678.594918981486</v>
      </c>
      <c r="Q732" s="16" t="s">
        <v>188</v>
      </c>
      <c r="R732" s="17" t="s">
        <v>2541</v>
      </c>
      <c r="S732" s="11" t="s">
        <v>2542</v>
      </c>
      <c r="T732" s="12"/>
      <c r="U732" s="10" t="str">
        <f>HYPERLINK("https://pbs.twimg.com/profile_images/972822677244272640/23HaWXad.jpg","View")</f>
        <v>View</v>
      </c>
    </row>
    <row r="733" spans="1:21" ht="40.799999999999997">
      <c r="A733" s="6">
        <v>43422.125543981485</v>
      </c>
      <c r="B733" s="7" t="str">
        <f>HYPERLINK("https://twitter.com/latriski","@latriski")</f>
        <v>@latriski</v>
      </c>
      <c r="C733" s="8" t="s">
        <v>2543</v>
      </c>
      <c r="D733" s="9" t="s">
        <v>2544</v>
      </c>
      <c r="E733" s="10" t="str">
        <f>HYPERLINK("https://twitter.com/latriski/status/1063975274214277120","1063975274214277120")</f>
        <v>1063975274214277120</v>
      </c>
      <c r="F733" s="12"/>
      <c r="G733" s="11" t="s">
        <v>2545</v>
      </c>
      <c r="H733" s="12"/>
      <c r="I733" s="13">
        <v>0</v>
      </c>
      <c r="J733" s="13">
        <v>0</v>
      </c>
      <c r="K733" s="14" t="str">
        <f>HYPERLINK("http://twitter.com/download/android","Twitter for Android")</f>
        <v>Twitter for Android</v>
      </c>
      <c r="L733" s="13">
        <v>83</v>
      </c>
      <c r="M733" s="13">
        <v>157</v>
      </c>
      <c r="N733" s="13">
        <v>0</v>
      </c>
      <c r="O733" s="15"/>
      <c r="P733" s="6">
        <v>41026.741284722222</v>
      </c>
      <c r="Q733" s="12"/>
      <c r="R733" s="21"/>
      <c r="S733" s="12"/>
      <c r="T733" s="12"/>
      <c r="U733" s="10" t="str">
        <f>HYPERLINK("https://pbs.twimg.com/profile_images/378800000389366347/1b86cc59a1867f330dc6f2bc059b5f81.jpeg","View")</f>
        <v>View</v>
      </c>
    </row>
    <row r="734" spans="1:21" ht="40.799999999999997">
      <c r="A734" s="6">
        <v>43422.076608796298</v>
      </c>
      <c r="B734" s="7" t="str">
        <f>HYPERLINK("https://twitter.com/mambi_felicidad","@mambi_felicidad")</f>
        <v>@mambi_felicidad</v>
      </c>
      <c r="C734" s="8" t="s">
        <v>2546</v>
      </c>
      <c r="D734" s="9" t="s">
        <v>2547</v>
      </c>
      <c r="E734" s="10" t="str">
        <f>HYPERLINK("https://twitter.com/mambi_felicidad/status/1063957541129003008","1063957541129003008")</f>
        <v>1063957541129003008</v>
      </c>
      <c r="F734" s="16" t="s">
        <v>2548</v>
      </c>
      <c r="G734" s="12"/>
      <c r="H734" s="12"/>
      <c r="I734" s="13">
        <v>0</v>
      </c>
      <c r="J734" s="13">
        <v>0</v>
      </c>
      <c r="K734" s="14" t="str">
        <f>HYPERLINK("https://mobile.twitter.com","Twitter Lite")</f>
        <v>Twitter Lite</v>
      </c>
      <c r="L734" s="13">
        <v>197</v>
      </c>
      <c r="M734" s="13">
        <v>182</v>
      </c>
      <c r="N734" s="13">
        <v>3</v>
      </c>
      <c r="O734" s="15"/>
      <c r="P734" s="6">
        <v>43215.040312500001</v>
      </c>
      <c r="Q734" s="12"/>
      <c r="R734" s="17" t="s">
        <v>2549</v>
      </c>
      <c r="S734" s="12"/>
      <c r="T734" s="12"/>
      <c r="U734" s="10" t="str">
        <f>HYPERLINK("https://pbs.twimg.com/profile_images/1060493040127799296/2Y9HZ43r.jpg","View")</f>
        <v>View</v>
      </c>
    </row>
    <row r="735" spans="1:21" ht="13.2">
      <c r="A735" s="6">
        <v>43422.059490740736</v>
      </c>
      <c r="B735" s="7" t="str">
        <f>HYPERLINK("https://twitter.com/manurivasolm1","@manurivasolm1")</f>
        <v>@manurivasolm1</v>
      </c>
      <c r="C735" s="8" t="s">
        <v>2552</v>
      </c>
      <c r="D735" s="9" t="s">
        <v>2553</v>
      </c>
      <c r="E735" s="10" t="str">
        <f>HYPERLINK("https://twitter.com/manurivasolm1/status/1063951335270375424","1063951335270375424")</f>
        <v>1063951335270375424</v>
      </c>
      <c r="F735" s="12"/>
      <c r="G735" s="11" t="s">
        <v>2554</v>
      </c>
      <c r="H735" s="12"/>
      <c r="I735" s="13">
        <v>2</v>
      </c>
      <c r="J735" s="13">
        <v>1</v>
      </c>
      <c r="K735" s="14" t="str">
        <f>HYPERLINK("http://twitter.com/download/iphone","Twitter for iPhone")</f>
        <v>Twitter for iPhone</v>
      </c>
      <c r="L735" s="13">
        <v>272</v>
      </c>
      <c r="M735" s="13">
        <v>698</v>
      </c>
      <c r="N735" s="13">
        <v>2</v>
      </c>
      <c r="O735" s="15"/>
      <c r="P735" s="6">
        <v>42545.040486111116</v>
      </c>
      <c r="Q735" s="16" t="s">
        <v>2555</v>
      </c>
      <c r="R735" s="21"/>
      <c r="S735" s="12"/>
      <c r="T735" s="12"/>
      <c r="U735" s="10" t="str">
        <f>HYPERLINK("https://pbs.twimg.com/profile_images/1031944164022341632/9hglZwpv.jpg","View")</f>
        <v>View</v>
      </c>
    </row>
    <row r="736" spans="1:21" ht="61.2">
      <c r="A736" s="6">
        <v>43422.054039351853</v>
      </c>
      <c r="B736" s="7" t="str">
        <f>HYPERLINK("https://twitter.com/Santi_ABASCAL","@Santi_ABASCAL")</f>
        <v>@Santi_ABASCAL</v>
      </c>
      <c r="C736" s="8" t="s">
        <v>182</v>
      </c>
      <c r="D736" s="9" t="s">
        <v>3070</v>
      </c>
      <c r="E736" s="10" t="str">
        <f>HYPERLINK("https://twitter.com/Santi_ABASCAL/status/1063949361137233920","1063949361137233920")</f>
        <v>1063949361137233920</v>
      </c>
      <c r="F736" s="12"/>
      <c r="G736" s="12"/>
      <c r="H736" s="12"/>
      <c r="I736" s="13">
        <v>1958</v>
      </c>
      <c r="J736" s="13">
        <v>4872</v>
      </c>
      <c r="K736" s="14" t="str">
        <f>HYPERLINK("http://twitter.com/download/android","Twitter for Android")</f>
        <v>Twitter for Android</v>
      </c>
      <c r="L736" s="13">
        <v>117602</v>
      </c>
      <c r="M736" s="13">
        <v>3896</v>
      </c>
      <c r="N736" s="13">
        <v>915</v>
      </c>
      <c r="O736" s="23" t="s">
        <v>186</v>
      </c>
      <c r="P736" s="6">
        <v>40606.716446759259</v>
      </c>
      <c r="Q736" s="16" t="s">
        <v>188</v>
      </c>
      <c r="R736" s="17" t="s">
        <v>189</v>
      </c>
      <c r="S736" s="11" t="s">
        <v>190</v>
      </c>
      <c r="T736" s="12"/>
      <c r="U736" s="10" t="str">
        <f>HYPERLINK("https://pbs.twimg.com/profile_images/1010488787686879232/2CnqYKlD.jpg","View")</f>
        <v>View</v>
      </c>
    </row>
    <row r="737" spans="1:21" ht="81.599999999999994">
      <c r="A737" s="6">
        <v>43422.042893518519</v>
      </c>
      <c r="B737" s="7" t="str">
        <f>HYPERLINK("https://twitter.com/Jrmgonzalez","@Jrmgonzalez")</f>
        <v>@Jrmgonzalez</v>
      </c>
      <c r="C737" s="8" t="s">
        <v>308</v>
      </c>
      <c r="D737" s="9" t="s">
        <v>2556</v>
      </c>
      <c r="E737" s="10" t="str">
        <f>HYPERLINK("https://twitter.com/Jrmgonzalez/status/1063945321502437376","1063945321502437376")</f>
        <v>1063945321502437376</v>
      </c>
      <c r="F737" s="11" t="s">
        <v>2557</v>
      </c>
      <c r="G737" s="11" t="s">
        <v>2558</v>
      </c>
      <c r="H737" s="12"/>
      <c r="I737" s="13">
        <v>5</v>
      </c>
      <c r="J737" s="13">
        <v>6</v>
      </c>
      <c r="K737" s="14" t="str">
        <f t="shared" ref="K737:K738" si="236">HYPERLINK("http://twitter.com/download/iphone","Twitter for iPhone")</f>
        <v>Twitter for iPhone</v>
      </c>
      <c r="L737" s="13">
        <v>32</v>
      </c>
      <c r="M737" s="13">
        <v>265</v>
      </c>
      <c r="N737" s="13">
        <v>2</v>
      </c>
      <c r="O737" s="15"/>
      <c r="P737" s="6">
        <v>41696.563379629632</v>
      </c>
      <c r="Q737" s="16" t="s">
        <v>312</v>
      </c>
      <c r="R737" s="17" t="s">
        <v>313</v>
      </c>
      <c r="S737" s="12"/>
      <c r="T737" s="12"/>
      <c r="U737" s="10" t="str">
        <f>HYPERLINK("https://pbs.twimg.com/profile_images/951188977960222721/P3ZmIVlt.jpg","View")</f>
        <v>View</v>
      </c>
    </row>
    <row r="738" spans="1:21" ht="51">
      <c r="A738" s="6">
        <v>43422.024988425925</v>
      </c>
      <c r="B738" s="7" t="str">
        <f>HYPERLINK("https://twitter.com/cuentavox","@cuentavox")</f>
        <v>@cuentavox</v>
      </c>
      <c r="C738" s="8" t="s">
        <v>2215</v>
      </c>
      <c r="D738" s="9" t="s">
        <v>2559</v>
      </c>
      <c r="E738" s="10" t="str">
        <f>HYPERLINK("https://twitter.com/cuentavox/status/1063938832549187584","1063938832549187584")</f>
        <v>1063938832549187584</v>
      </c>
      <c r="F738" s="12"/>
      <c r="G738" s="12"/>
      <c r="H738" s="12"/>
      <c r="I738" s="13">
        <v>0</v>
      </c>
      <c r="J738" s="13">
        <v>1</v>
      </c>
      <c r="K738" s="14" t="str">
        <f t="shared" si="236"/>
        <v>Twitter for iPhone</v>
      </c>
      <c r="L738" s="13">
        <v>1151</v>
      </c>
      <c r="M738" s="13">
        <v>344</v>
      </c>
      <c r="N738" s="13">
        <v>25</v>
      </c>
      <c r="O738" s="15"/>
      <c r="P738" s="6">
        <v>42390.786990740744</v>
      </c>
      <c r="Q738" s="16" t="s">
        <v>2218</v>
      </c>
      <c r="R738" s="17" t="s">
        <v>2219</v>
      </c>
      <c r="S738" s="12"/>
      <c r="T738" s="12"/>
      <c r="U738" s="10" t="str">
        <f>HYPERLINK("https://pbs.twimg.com/profile_images/1064649033933864961/yLorZbPr.jpg","View")</f>
        <v>View</v>
      </c>
    </row>
    <row r="739" spans="1:21" ht="51">
      <c r="A739" s="6">
        <v>43422.024016203708</v>
      </c>
      <c r="B739" s="7" t="str">
        <f>HYPERLINK("https://twitter.com/CarlosZayasESP","@CarlosZayasESP")</f>
        <v>@CarlosZayasESP</v>
      </c>
      <c r="C739" s="8" t="s">
        <v>2560</v>
      </c>
      <c r="D739" s="9" t="s">
        <v>2561</v>
      </c>
      <c r="E739" s="10" t="str">
        <f>HYPERLINK("https://twitter.com/CarlosZayasESP/status/1063938479925678081","1063938479925678081")</f>
        <v>1063938479925678081</v>
      </c>
      <c r="F739" s="12"/>
      <c r="G739" s="11" t="s">
        <v>2562</v>
      </c>
      <c r="H739" s="12"/>
      <c r="I739" s="13">
        <v>1</v>
      </c>
      <c r="J739" s="13">
        <v>3</v>
      </c>
      <c r="K739" s="14" t="str">
        <f>HYPERLINK("http://twitter.com/download/android","Twitter for Android")</f>
        <v>Twitter for Android</v>
      </c>
      <c r="L739" s="13">
        <v>1454</v>
      </c>
      <c r="M739" s="13">
        <v>2164</v>
      </c>
      <c r="N739" s="13">
        <v>10</v>
      </c>
      <c r="O739" s="15"/>
      <c r="P739" s="6">
        <v>42429.384409722217</v>
      </c>
      <c r="Q739" s="16" t="s">
        <v>2563</v>
      </c>
      <c r="R739" s="17" t="s">
        <v>2564</v>
      </c>
      <c r="S739" s="12"/>
      <c r="T739" s="12"/>
      <c r="U739" s="10" t="str">
        <f>HYPERLINK("https://pbs.twimg.com/profile_images/704218601981612032/QmnajuhY.jpg","View")</f>
        <v>View</v>
      </c>
    </row>
    <row r="740" spans="1:21" ht="102">
      <c r="A740" s="6">
        <v>43422.017604166671</v>
      </c>
      <c r="B740" s="7" t="str">
        <f>HYPERLINK("https://twitter.com/Jrmgonzalez","@Jrmgonzalez")</f>
        <v>@Jrmgonzalez</v>
      </c>
      <c r="C740" s="8" t="s">
        <v>308</v>
      </c>
      <c r="D740" s="9" t="s">
        <v>2565</v>
      </c>
      <c r="E740" s="10" t="str">
        <f>HYPERLINK("https://twitter.com/Jrmgonzalez/status/1063936156415467520","1063936156415467520")</f>
        <v>1063936156415467520</v>
      </c>
      <c r="F740" s="16" t="s">
        <v>2566</v>
      </c>
      <c r="G740" s="11" t="s">
        <v>2567</v>
      </c>
      <c r="H740" s="12"/>
      <c r="I740" s="13">
        <v>7</v>
      </c>
      <c r="J740" s="13">
        <v>4</v>
      </c>
      <c r="K740" s="14" t="str">
        <f>HYPERLINK("http://twitter.com/download/iphone","Twitter for iPhone")</f>
        <v>Twitter for iPhone</v>
      </c>
      <c r="L740" s="13">
        <v>32</v>
      </c>
      <c r="M740" s="13">
        <v>265</v>
      </c>
      <c r="N740" s="13">
        <v>2</v>
      </c>
      <c r="O740" s="15"/>
      <c r="P740" s="6">
        <v>41696.563379629632</v>
      </c>
      <c r="Q740" s="16" t="s">
        <v>312</v>
      </c>
      <c r="R740" s="17" t="s">
        <v>313</v>
      </c>
      <c r="S740" s="12"/>
      <c r="T740" s="12"/>
      <c r="U740" s="10" t="str">
        <f>HYPERLINK("https://pbs.twimg.com/profile_images/951188977960222721/P3ZmIVlt.jpg","View")</f>
        <v>View</v>
      </c>
    </row>
    <row r="741" spans="1:21" ht="30.6">
      <c r="A741" s="6">
        <v>43422.009988425925</v>
      </c>
      <c r="B741" s="7" t="str">
        <f>HYPERLINK("https://twitter.com/cristinaviecom","@cristinaviecom")</f>
        <v>@cristinaviecom</v>
      </c>
      <c r="C741" s="8" t="s">
        <v>2569</v>
      </c>
      <c r="D741" s="9" t="s">
        <v>2570</v>
      </c>
      <c r="E741" s="10" t="str">
        <f>HYPERLINK("https://twitter.com/cristinaviecom/status/1063933398585090053","1063933398585090053")</f>
        <v>1063933398585090053</v>
      </c>
      <c r="F741" s="16" t="s">
        <v>2176</v>
      </c>
      <c r="G741" s="12"/>
      <c r="H741" s="12"/>
      <c r="I741" s="13">
        <v>0</v>
      </c>
      <c r="J741" s="13">
        <v>1</v>
      </c>
      <c r="K741" s="14" t="str">
        <f>HYPERLINK("http://twitter.com/download/android","Twitter for Android")</f>
        <v>Twitter for Android</v>
      </c>
      <c r="L741" s="13">
        <v>45</v>
      </c>
      <c r="M741" s="13">
        <v>281</v>
      </c>
      <c r="N741" s="13">
        <v>3</v>
      </c>
      <c r="O741" s="15"/>
      <c r="P741" s="6">
        <v>41717.746018518519</v>
      </c>
      <c r="Q741" s="12"/>
      <c r="R741" s="17" t="s">
        <v>2571</v>
      </c>
      <c r="S741" s="12"/>
      <c r="T741" s="12"/>
      <c r="U741" s="10" t="str">
        <f>HYPERLINK("https://pbs.twimg.com/profile_images/446333732631240704/yG0OJ8Z1.jpeg","View")</f>
        <v>View</v>
      </c>
    </row>
    <row r="742" spans="1:21" ht="40.799999999999997">
      <c r="A742" s="6">
        <v>43422.008912037039</v>
      </c>
      <c r="B742" s="7" t="str">
        <f>HYPERLINK("https://twitter.com/sosciudadanos","@sosciudadanos")</f>
        <v>@sosciudadanos</v>
      </c>
      <c r="C742" s="8" t="s">
        <v>1770</v>
      </c>
      <c r="D742" s="9" t="s">
        <v>2575</v>
      </c>
      <c r="E742" s="10" t="str">
        <f>HYPERLINK("https://twitter.com/sosciudadanos/status/1063933007072059392","1063933007072059392")</f>
        <v>1063933007072059392</v>
      </c>
      <c r="F742" s="12"/>
      <c r="G742" s="11" t="s">
        <v>2576</v>
      </c>
      <c r="H742" s="12"/>
      <c r="I742" s="13">
        <v>0</v>
      </c>
      <c r="J742" s="13">
        <v>2</v>
      </c>
      <c r="K742" s="14" t="str">
        <f>HYPERLINK("http://tapbots.com/tweetbot","Tweetbot for iΟS")</f>
        <v>Tweetbot for iΟS</v>
      </c>
      <c r="L742" s="13">
        <v>246</v>
      </c>
      <c r="M742" s="13">
        <v>239</v>
      </c>
      <c r="N742" s="13">
        <v>0</v>
      </c>
      <c r="O742" s="15"/>
      <c r="P742" s="6">
        <v>40502.868402777778</v>
      </c>
      <c r="Q742" s="12"/>
      <c r="R742" s="17" t="s">
        <v>1775</v>
      </c>
      <c r="S742" s="12"/>
      <c r="T742" s="12"/>
      <c r="U742" s="10" t="str">
        <f>HYPERLINK("https://pbs.twimg.com/profile_images/1365930752/Fotolia_21253940_S.jpg","View")</f>
        <v>View</v>
      </c>
    </row>
    <row r="743" spans="1:21" ht="81.599999999999994">
      <c r="A743" s="6">
        <v>43422.005243055552</v>
      </c>
      <c r="B743" s="7" t="str">
        <f>HYPERLINK("https://twitter.com/SalvaVillegas","@SalvaVillegas")</f>
        <v>@SalvaVillegas</v>
      </c>
      <c r="C743" s="8" t="s">
        <v>2577</v>
      </c>
      <c r="D743" s="9" t="s">
        <v>2578</v>
      </c>
      <c r="E743" s="10" t="str">
        <f>HYPERLINK("https://twitter.com/SalvaVillegas/status/1063931676101935104","1063931676101935104")</f>
        <v>1063931676101935104</v>
      </c>
      <c r="F743" s="16" t="s">
        <v>2579</v>
      </c>
      <c r="G743" s="11" t="s">
        <v>2580</v>
      </c>
      <c r="H743" s="12"/>
      <c r="I743" s="13">
        <v>0</v>
      </c>
      <c r="J743" s="13">
        <v>1</v>
      </c>
      <c r="K743" s="14" t="str">
        <f>HYPERLINK("http://twitter.com/#!/download/ipad","Twitter for iPad")</f>
        <v>Twitter for iPad</v>
      </c>
      <c r="L743" s="13">
        <v>397</v>
      </c>
      <c r="M743" s="13">
        <v>334</v>
      </c>
      <c r="N743" s="13">
        <v>10</v>
      </c>
      <c r="O743" s="15"/>
      <c r="P743" s="6">
        <v>40949.073564814811</v>
      </c>
      <c r="Q743" s="16" t="s">
        <v>2581</v>
      </c>
      <c r="R743" s="17" t="s">
        <v>2582</v>
      </c>
      <c r="S743" s="12"/>
      <c r="T743" s="12"/>
      <c r="U743" s="10" t="str">
        <f>HYPERLINK("https://pbs.twimg.com/profile_images/928745659536158720/HN3e7B_T.jpg","View")</f>
        <v>View</v>
      </c>
    </row>
    <row r="744" spans="1:21" ht="71.400000000000006">
      <c r="A744" s="6">
        <v>43422.004780092597</v>
      </c>
      <c r="B744" s="7" t="str">
        <f>HYPERLINK("https://twitter.com/kodiario_","@kodiario_")</f>
        <v>@kodiario_</v>
      </c>
      <c r="C744" s="8" t="s">
        <v>46</v>
      </c>
      <c r="D744" s="9" t="s">
        <v>2583</v>
      </c>
      <c r="E744" s="10" t="str">
        <f>HYPERLINK("https://twitter.com/kodiario_/status/1063931508157816832","1063931508157816832")</f>
        <v>1063931508157816832</v>
      </c>
      <c r="F744" s="11" t="s">
        <v>2584</v>
      </c>
      <c r="G744" s="11" t="s">
        <v>2585</v>
      </c>
      <c r="H744" s="12"/>
      <c r="I744" s="13">
        <v>4</v>
      </c>
      <c r="J744" s="13">
        <v>4</v>
      </c>
      <c r="K744" s="14" t="str">
        <f t="shared" ref="K744:K746" si="237">HYPERLINK("http://twitter.com/download/android","Twitter for Android")</f>
        <v>Twitter for Android</v>
      </c>
      <c r="L744" s="13">
        <v>4595</v>
      </c>
      <c r="M744" s="13">
        <v>322</v>
      </c>
      <c r="N744" s="13">
        <v>55</v>
      </c>
      <c r="O744" s="15"/>
      <c r="P744" s="6">
        <v>42564.053425925929</v>
      </c>
      <c r="Q744" s="12"/>
      <c r="R744" s="17" t="s">
        <v>49</v>
      </c>
      <c r="S744" s="12"/>
      <c r="T744" s="12"/>
      <c r="U744" s="10" t="str">
        <f>HYPERLINK("https://pbs.twimg.com/profile_images/977352060571148288/z2lxbv4P.jpg","View")</f>
        <v>View</v>
      </c>
    </row>
    <row r="745" spans="1:21" ht="61.2">
      <c r="A745" s="6">
        <v>43422.000173611115</v>
      </c>
      <c r="B745" s="7" t="str">
        <f>HYPERLINK("https://twitter.com/Jolu1970Jose","@Jolu1970Jose")</f>
        <v>@Jolu1970Jose</v>
      </c>
      <c r="C745" s="8" t="s">
        <v>168</v>
      </c>
      <c r="D745" s="9" t="s">
        <v>2586</v>
      </c>
      <c r="E745" s="10" t="str">
        <f>HYPERLINK("https://twitter.com/Jolu1970Jose/status/1063929840510865409","1063929840510865409")</f>
        <v>1063929840510865409</v>
      </c>
      <c r="F745" s="12"/>
      <c r="G745" s="11" t="s">
        <v>2587</v>
      </c>
      <c r="H745" s="12"/>
      <c r="I745" s="13">
        <v>0</v>
      </c>
      <c r="J745" s="13">
        <v>2</v>
      </c>
      <c r="K745" s="14" t="str">
        <f t="shared" si="237"/>
        <v>Twitter for Android</v>
      </c>
      <c r="L745" s="13">
        <v>2345</v>
      </c>
      <c r="M745" s="13">
        <v>2493</v>
      </c>
      <c r="N745" s="13">
        <v>22</v>
      </c>
      <c r="O745" s="15"/>
      <c r="P745" s="6">
        <v>40681.964178240742</v>
      </c>
      <c r="Q745" s="12"/>
      <c r="R745" s="17" t="s">
        <v>171</v>
      </c>
      <c r="S745" s="12"/>
      <c r="T745" s="12"/>
      <c r="U745" s="10" t="str">
        <f>HYPERLINK("https://pbs.twimg.com/profile_images/997194518444175360/dnaJJ08L.jpg","View")</f>
        <v>View</v>
      </c>
    </row>
    <row r="746" spans="1:21" ht="30.6">
      <c r="A746" s="6">
        <v>43421.995509259257</v>
      </c>
      <c r="B746" s="7" t="str">
        <f>HYPERLINK("https://twitter.com/alvaromlg1993","@alvaromlg1993")</f>
        <v>@alvaromlg1993</v>
      </c>
      <c r="C746" s="8" t="s">
        <v>2590</v>
      </c>
      <c r="D746" s="9" t="s">
        <v>2591</v>
      </c>
      <c r="E746" s="10" t="str">
        <f>HYPERLINK("https://twitter.com/alvaromlg1993/status/1063928149719826432","1063928149719826432")</f>
        <v>1063928149719826432</v>
      </c>
      <c r="F746" s="12"/>
      <c r="G746" s="11" t="s">
        <v>2592</v>
      </c>
      <c r="H746" s="12"/>
      <c r="I746" s="13">
        <v>0</v>
      </c>
      <c r="J746" s="13">
        <v>0</v>
      </c>
      <c r="K746" s="14" t="str">
        <f t="shared" si="237"/>
        <v>Twitter for Android</v>
      </c>
      <c r="L746" s="13">
        <v>66</v>
      </c>
      <c r="M746" s="13">
        <v>73</v>
      </c>
      <c r="N746" s="13">
        <v>0</v>
      </c>
      <c r="O746" s="15"/>
      <c r="P746" s="6">
        <v>43394.524618055555</v>
      </c>
      <c r="Q746" s="16" t="s">
        <v>1677</v>
      </c>
      <c r="R746" s="17" t="s">
        <v>2593</v>
      </c>
      <c r="S746" s="12"/>
      <c r="T746" s="12"/>
      <c r="U746" s="10" t="str">
        <f>HYPERLINK("https://pbs.twimg.com/profile_images/1054493312902725632/_3CLPUGZ.jpg","View")</f>
        <v>View</v>
      </c>
    </row>
    <row r="747" spans="1:21" ht="61.2">
      <c r="A747" s="6">
        <v>43421.977280092593</v>
      </c>
      <c r="B747" s="7" t="str">
        <f>HYPERLINK("https://twitter.com/redondo_pacheco","@redondo_pacheco")</f>
        <v>@redondo_pacheco</v>
      </c>
      <c r="C747" s="8" t="s">
        <v>2594</v>
      </c>
      <c r="D747" s="9" t="s">
        <v>2595</v>
      </c>
      <c r="E747" s="10" t="str">
        <f>HYPERLINK("https://twitter.com/redondo_pacheco/status/1063921545112944643","1063921545112944643")</f>
        <v>1063921545112944643</v>
      </c>
      <c r="F747" s="16" t="s">
        <v>2596</v>
      </c>
      <c r="G747" s="12"/>
      <c r="H747" s="12"/>
      <c r="I747" s="13">
        <v>1</v>
      </c>
      <c r="J747" s="13">
        <v>0</v>
      </c>
      <c r="K747" s="14" t="str">
        <f>HYPERLINK("http://twitter.com/download/iphone","Twitter for iPhone")</f>
        <v>Twitter for iPhone</v>
      </c>
      <c r="L747" s="13">
        <v>72</v>
      </c>
      <c r="M747" s="13">
        <v>231</v>
      </c>
      <c r="N747" s="13">
        <v>0</v>
      </c>
      <c r="O747" s="15"/>
      <c r="P747" s="6">
        <v>43322.82508101852</v>
      </c>
      <c r="Q747" s="16" t="s">
        <v>2597</v>
      </c>
      <c r="R747" s="17" t="s">
        <v>2598</v>
      </c>
      <c r="S747" s="12"/>
      <c r="T747" s="12"/>
      <c r="U747" s="10" t="str">
        <f>HYPERLINK("https://pbs.twimg.com/profile_images/1051561494381568001/WVBLl6Sf.jpg","View")</f>
        <v>View</v>
      </c>
    </row>
    <row r="748" spans="1:21" ht="61.2">
      <c r="A748" s="6">
        <v>43421.977268518516</v>
      </c>
      <c r="B748" s="7" t="str">
        <f>HYPERLINK("https://twitter.com/yuropluc","@yuropluc")</f>
        <v>@yuropluc</v>
      </c>
      <c r="C748" s="8" t="s">
        <v>2599</v>
      </c>
      <c r="D748" s="9" t="s">
        <v>2600</v>
      </c>
      <c r="E748" s="10" t="str">
        <f>HYPERLINK("https://twitter.com/yuropluc/status/1063921539614158848","1063921539614158848")</f>
        <v>1063921539614158848</v>
      </c>
      <c r="F748" s="12"/>
      <c r="G748" s="11" t="s">
        <v>2601</v>
      </c>
      <c r="H748" s="12"/>
      <c r="I748" s="13">
        <v>13</v>
      </c>
      <c r="J748" s="13">
        <v>6</v>
      </c>
      <c r="K748" s="14" t="str">
        <f>HYPERLINK("http://twitter.com/download/android","Twitter for Android")</f>
        <v>Twitter for Android</v>
      </c>
      <c r="L748" s="13">
        <v>236</v>
      </c>
      <c r="M748" s="13">
        <v>306</v>
      </c>
      <c r="N748" s="13">
        <v>0</v>
      </c>
      <c r="O748" s="15"/>
      <c r="P748" s="6">
        <v>40665.766689814816</v>
      </c>
      <c r="Q748" s="12"/>
      <c r="R748" s="21"/>
      <c r="S748" s="12"/>
      <c r="T748" s="12"/>
      <c r="U748" s="10" t="str">
        <f>HYPERLINK("https://pbs.twimg.com/profile_images/920680209250160647/zwNBFznZ.jpg","View")</f>
        <v>View</v>
      </c>
    </row>
    <row r="749" spans="1:21" ht="71.400000000000006">
      <c r="A749" s="6">
        <v>43421.972858796296</v>
      </c>
      <c r="B749" s="7" t="str">
        <f>HYPERLINK("https://twitter.com/ACx102","@ACx102")</f>
        <v>@ACx102</v>
      </c>
      <c r="C749" s="8" t="s">
        <v>1894</v>
      </c>
      <c r="D749" s="9" t="s">
        <v>2602</v>
      </c>
      <c r="E749" s="10" t="str">
        <f>HYPERLINK("https://twitter.com/ACx102/status/1063919942632902656","1063919942632902656")</f>
        <v>1063919942632902656</v>
      </c>
      <c r="F749" s="11" t="s">
        <v>2603</v>
      </c>
      <c r="G749" s="11" t="s">
        <v>2604</v>
      </c>
      <c r="H749" s="12"/>
      <c r="I749" s="13">
        <v>0</v>
      </c>
      <c r="J749" s="13">
        <v>0</v>
      </c>
      <c r="K749" s="14" t="str">
        <f>HYPERLINK("http://twitter.com/download/iphone","Twitter for iPhone")</f>
        <v>Twitter for iPhone</v>
      </c>
      <c r="L749" s="13">
        <v>721</v>
      </c>
      <c r="M749" s="13">
        <v>598</v>
      </c>
      <c r="N749" s="13">
        <v>6</v>
      </c>
      <c r="O749" s="15"/>
      <c r="P749" s="6">
        <v>40600.993831018517</v>
      </c>
      <c r="Q749" s="12"/>
      <c r="R749" s="17" t="s">
        <v>1898</v>
      </c>
      <c r="S749" s="12"/>
      <c r="T749" s="12"/>
      <c r="U749" s="10" t="str">
        <f>HYPERLINK("https://pbs.twimg.com/profile_images/993949766659780612/Jyfx7fNw.jpg","View")</f>
        <v>View</v>
      </c>
    </row>
    <row r="750" spans="1:21" ht="20.399999999999999">
      <c r="A750" s="6">
        <v>43421.94666666667</v>
      </c>
      <c r="B750" s="7" t="str">
        <f>HYPERLINK("https://twitter.com/Trompeta36","@Trompeta36")</f>
        <v>@Trompeta36</v>
      </c>
      <c r="C750" s="8" t="s">
        <v>3126</v>
      </c>
      <c r="D750" s="9" t="s">
        <v>3127</v>
      </c>
      <c r="E750" s="10" t="str">
        <f>HYPERLINK("https://twitter.com/Trompeta36/status/1063910451262689281","1063910451262689281")</f>
        <v>1063910451262689281</v>
      </c>
      <c r="F750" s="11" t="s">
        <v>3128</v>
      </c>
      <c r="G750" s="12"/>
      <c r="H750" s="12"/>
      <c r="I750" s="13">
        <v>0</v>
      </c>
      <c r="J750" s="13">
        <v>0</v>
      </c>
      <c r="K750" s="14" t="str">
        <f>HYPERLINK("http://www.facebook.com/twitter","Facebook")</f>
        <v>Facebook</v>
      </c>
      <c r="L750" s="13">
        <v>2262</v>
      </c>
      <c r="M750" s="13">
        <v>2952</v>
      </c>
      <c r="N750" s="13">
        <v>0</v>
      </c>
      <c r="O750" s="15"/>
      <c r="P750" s="6">
        <v>40835.551631944443</v>
      </c>
      <c r="Q750" s="16" t="s">
        <v>3129</v>
      </c>
      <c r="R750" s="17" t="s">
        <v>3130</v>
      </c>
      <c r="S750" s="12"/>
      <c r="T750" s="12"/>
      <c r="U750" s="10" t="str">
        <f>HYPERLINK("https://pbs.twimg.com/profile_images/723132334489346048/JJaObwC9.jpg","View")</f>
        <v>View</v>
      </c>
    </row>
    <row r="751" spans="1:21" ht="71.400000000000006">
      <c r="A751" s="6">
        <v>43421.942395833335</v>
      </c>
      <c r="B751" s="7" t="str">
        <f>HYPERLINK("https://twitter.com/jacintoheria78","@jacintoheria78")</f>
        <v>@jacintoheria78</v>
      </c>
      <c r="C751" s="8" t="s">
        <v>2606</v>
      </c>
      <c r="D751" s="9" t="s">
        <v>2607</v>
      </c>
      <c r="E751" s="10" t="str">
        <f>HYPERLINK("https://twitter.com/jacintoheria78/status/1063908903799463936","1063908903799463936")</f>
        <v>1063908903799463936</v>
      </c>
      <c r="F751" s="16" t="s">
        <v>2608</v>
      </c>
      <c r="G751" s="12"/>
      <c r="H751" s="12"/>
      <c r="I751" s="13">
        <v>3</v>
      </c>
      <c r="J751" s="13">
        <v>10</v>
      </c>
      <c r="K751" s="14" t="str">
        <f t="shared" ref="K751:K755" si="238">HYPERLINK("http://twitter.com/download/android","Twitter for Android")</f>
        <v>Twitter for Android</v>
      </c>
      <c r="L751" s="13">
        <v>1049</v>
      </c>
      <c r="M751" s="13">
        <v>2044</v>
      </c>
      <c r="N751" s="13">
        <v>10</v>
      </c>
      <c r="O751" s="15"/>
      <c r="P751" s="6">
        <v>42813.885138888887</v>
      </c>
      <c r="Q751" s="16" t="s">
        <v>2609</v>
      </c>
      <c r="R751" s="17" t="s">
        <v>2610</v>
      </c>
      <c r="S751" s="12"/>
      <c r="T751" s="12"/>
      <c r="U751" s="10" t="str">
        <f>HYPERLINK("https://pbs.twimg.com/profile_images/990557857463578624/oVZ5UJaO.jpg","View")</f>
        <v>View</v>
      </c>
    </row>
    <row r="752" spans="1:21" ht="30.6">
      <c r="A752" s="6">
        <v>43421.939583333333</v>
      </c>
      <c r="B752" s="7" t="str">
        <f>HYPERLINK("https://twitter.com/TNylaya","@TNylaya")</f>
        <v>@TNylaya</v>
      </c>
      <c r="C752" s="8" t="s">
        <v>21</v>
      </c>
      <c r="D752" s="9" t="s">
        <v>3137</v>
      </c>
      <c r="E752" s="10" t="str">
        <f>HYPERLINK("https://twitter.com/TNylaya/status/1063907883660861440","1063907883660861440")</f>
        <v>1063907883660861440</v>
      </c>
      <c r="F752" s="11" t="s">
        <v>3138</v>
      </c>
      <c r="G752" s="12"/>
      <c r="H752" s="12"/>
      <c r="I752" s="13">
        <v>0</v>
      </c>
      <c r="J752" s="13">
        <v>0</v>
      </c>
      <c r="K752" s="14" t="str">
        <f t="shared" si="238"/>
        <v>Twitter for Android</v>
      </c>
      <c r="L752" s="13">
        <v>82</v>
      </c>
      <c r="M752" s="13">
        <v>268</v>
      </c>
      <c r="N752" s="13">
        <v>0</v>
      </c>
      <c r="O752" s="15"/>
      <c r="P752" s="6">
        <v>43373.076354166667</v>
      </c>
      <c r="Q752" s="12"/>
      <c r="R752" s="17" t="s">
        <v>26</v>
      </c>
      <c r="S752" s="12"/>
      <c r="T752" s="12"/>
      <c r="U752" s="10" t="str">
        <f>HYPERLINK("https://pbs.twimg.com/profile_images/1046188819358322689/x_yItWiC.jpg","View")</f>
        <v>View</v>
      </c>
    </row>
    <row r="753" spans="1:21" ht="40.799999999999997">
      <c r="A753" s="6">
        <v>43421.937326388885</v>
      </c>
      <c r="B753" s="7" t="str">
        <f>HYPERLINK("https://twitter.com/lunadebenidorm","@lunadebenidorm")</f>
        <v>@lunadebenidorm</v>
      </c>
      <c r="C753" s="8" t="s">
        <v>106</v>
      </c>
      <c r="D753" s="9" t="s">
        <v>2613</v>
      </c>
      <c r="E753" s="10" t="str">
        <f>HYPERLINK("https://twitter.com/lunadebenidorm/status/1063907066882998273","1063907066882998273")</f>
        <v>1063907066882998273</v>
      </c>
      <c r="F753" s="12"/>
      <c r="G753" s="12"/>
      <c r="H753" s="12"/>
      <c r="I753" s="13">
        <v>0</v>
      </c>
      <c r="J753" s="13">
        <v>0</v>
      </c>
      <c r="K753" s="14" t="str">
        <f t="shared" si="238"/>
        <v>Twitter for Android</v>
      </c>
      <c r="L753" s="13">
        <v>3991</v>
      </c>
      <c r="M753" s="13">
        <v>3978</v>
      </c>
      <c r="N753" s="13">
        <v>79</v>
      </c>
      <c r="O753" s="15"/>
      <c r="P753" s="6">
        <v>41461.81186342593</v>
      </c>
      <c r="Q753" s="12"/>
      <c r="R753" s="17" t="s">
        <v>108</v>
      </c>
      <c r="S753" s="12"/>
      <c r="T753" s="12"/>
      <c r="U753" s="10" t="str">
        <f>HYPERLINK("https://pbs.twimg.com/profile_images/1061229593758257153/rePCQt08.jpg","View")</f>
        <v>View</v>
      </c>
    </row>
    <row r="754" spans="1:21" ht="30.6">
      <c r="A754" s="6">
        <v>43421.931504629625</v>
      </c>
      <c r="B754" s="7" t="str">
        <f>HYPERLINK("https://twitter.com/jesusgarciac98","@jesusgarciac98")</f>
        <v>@jesusgarciac98</v>
      </c>
      <c r="C754" s="8" t="s">
        <v>2616</v>
      </c>
      <c r="D754" s="9" t="s">
        <v>2618</v>
      </c>
      <c r="E754" s="10" t="str">
        <f>HYPERLINK("https://twitter.com/jesusgarciac98/status/1063904955088683008","1063904955088683008")</f>
        <v>1063904955088683008</v>
      </c>
      <c r="F754" s="12"/>
      <c r="G754" s="11" t="s">
        <v>2619</v>
      </c>
      <c r="H754" s="12"/>
      <c r="I754" s="13">
        <v>0</v>
      </c>
      <c r="J754" s="13">
        <v>0</v>
      </c>
      <c r="K754" s="14" t="str">
        <f t="shared" si="238"/>
        <v>Twitter for Android</v>
      </c>
      <c r="L754" s="13">
        <v>490</v>
      </c>
      <c r="M754" s="13">
        <v>561</v>
      </c>
      <c r="N754" s="13">
        <v>2</v>
      </c>
      <c r="O754" s="15"/>
      <c r="P754" s="6">
        <v>40908.833437499998</v>
      </c>
      <c r="Q754" s="16" t="s">
        <v>2620</v>
      </c>
      <c r="R754" s="17" t="s">
        <v>2621</v>
      </c>
      <c r="S754" s="12"/>
      <c r="T754" s="12"/>
      <c r="U754" s="10" t="str">
        <f>HYPERLINK("https://pbs.twimg.com/profile_images/1062061442063654917/iLcvC5kB.jpg","View")</f>
        <v>View</v>
      </c>
    </row>
    <row r="755" spans="1:21" ht="51">
      <c r="A755" s="6">
        <v>43421.930196759262</v>
      </c>
      <c r="B755" s="7" t="str">
        <f>HYPERLINK("https://twitter.com/Belen_Larioss","@Belen_Larioss")</f>
        <v>@Belen_Larioss</v>
      </c>
      <c r="C755" s="8" t="s">
        <v>2622</v>
      </c>
      <c r="D755" s="9" t="s">
        <v>2623</v>
      </c>
      <c r="E755" s="10" t="str">
        <f>HYPERLINK("https://twitter.com/Belen_Larioss/status/1063904480855564288","1063904480855564288")</f>
        <v>1063904480855564288</v>
      </c>
      <c r="F755" s="11" t="s">
        <v>2624</v>
      </c>
      <c r="G755" s="12"/>
      <c r="H755" s="12"/>
      <c r="I755" s="13">
        <v>0</v>
      </c>
      <c r="J755" s="13">
        <v>1</v>
      </c>
      <c r="K755" s="14" t="str">
        <f t="shared" si="238"/>
        <v>Twitter for Android</v>
      </c>
      <c r="L755" s="13">
        <v>15513</v>
      </c>
      <c r="M755" s="13">
        <v>13021</v>
      </c>
      <c r="N755" s="13">
        <v>124</v>
      </c>
      <c r="O755" s="15"/>
      <c r="P755" s="6">
        <v>41188.604050925926</v>
      </c>
      <c r="Q755" s="16" t="s">
        <v>185</v>
      </c>
      <c r="R755" s="17" t="s">
        <v>2625</v>
      </c>
      <c r="S755" s="12"/>
      <c r="T755" s="12"/>
      <c r="U755" s="10" t="str">
        <f>HYPERLINK("https://pbs.twimg.com/profile_images/1038728763310317578/yAiv1-A2.jpg","View")</f>
        <v>View</v>
      </c>
    </row>
    <row r="756" spans="1:21" ht="40.799999999999997">
      <c r="A756" s="6">
        <v>43421.924363425926</v>
      </c>
      <c r="B756" s="7" t="str">
        <f t="shared" ref="B756:B757" si="239">HYPERLINK("https://twitter.com/AlbiolsPons","@AlbiolsPons")</f>
        <v>@AlbiolsPons</v>
      </c>
      <c r="C756" s="8" t="s">
        <v>2626</v>
      </c>
      <c r="D756" s="9" t="s">
        <v>2627</v>
      </c>
      <c r="E756" s="10" t="str">
        <f>HYPERLINK("https://twitter.com/AlbiolsPons/status/1063902366649499648","1063902366649499648")</f>
        <v>1063902366649499648</v>
      </c>
      <c r="F756" s="11" t="s">
        <v>2629</v>
      </c>
      <c r="G756" s="12"/>
      <c r="H756" s="12"/>
      <c r="I756" s="13">
        <v>1</v>
      </c>
      <c r="J756" s="13">
        <v>0</v>
      </c>
      <c r="K756" s="14" t="str">
        <f t="shared" ref="K756:K757" si="240">HYPERLINK("http://twitter.com","Twitter Web Client")</f>
        <v>Twitter Web Client</v>
      </c>
      <c r="L756" s="13">
        <v>122</v>
      </c>
      <c r="M756" s="13">
        <v>73</v>
      </c>
      <c r="N756" s="13">
        <v>0</v>
      </c>
      <c r="O756" s="15"/>
      <c r="P756" s="6">
        <v>43388.818819444445</v>
      </c>
      <c r="Q756" s="12"/>
      <c r="R756" s="21"/>
      <c r="S756" s="12"/>
      <c r="T756" s="12"/>
      <c r="U756" s="10" t="str">
        <f t="shared" ref="U756:U757" si="241">HYPERLINK("https://pbs.twimg.com/profile_images/1051902910571929600/N85sYCId.jpg","View")</f>
        <v>View</v>
      </c>
    </row>
    <row r="757" spans="1:21" ht="30.6">
      <c r="A757" s="6">
        <v>43421.903854166667</v>
      </c>
      <c r="B757" s="7" t="str">
        <f t="shared" si="239"/>
        <v>@AlbiolsPons</v>
      </c>
      <c r="C757" s="8" t="s">
        <v>2626</v>
      </c>
      <c r="D757" s="9" t="s">
        <v>2630</v>
      </c>
      <c r="E757" s="10" t="str">
        <f>HYPERLINK("https://twitter.com/AlbiolsPons/status/1063894936012099589","1063894936012099589")</f>
        <v>1063894936012099589</v>
      </c>
      <c r="F757" s="11" t="s">
        <v>2629</v>
      </c>
      <c r="G757" s="12"/>
      <c r="H757" s="12"/>
      <c r="I757" s="13">
        <v>1</v>
      </c>
      <c r="J757" s="13">
        <v>0</v>
      </c>
      <c r="K757" s="14" t="str">
        <f t="shared" si="240"/>
        <v>Twitter Web Client</v>
      </c>
      <c r="L757" s="13">
        <v>122</v>
      </c>
      <c r="M757" s="13">
        <v>73</v>
      </c>
      <c r="N757" s="13">
        <v>0</v>
      </c>
      <c r="O757" s="15"/>
      <c r="P757" s="6">
        <v>43388.818819444445</v>
      </c>
      <c r="Q757" s="12"/>
      <c r="R757" s="21"/>
      <c r="S757" s="12"/>
      <c r="T757" s="12"/>
      <c r="U757" s="10" t="str">
        <f t="shared" si="241"/>
        <v>View</v>
      </c>
    </row>
    <row r="758" spans="1:21" ht="20.399999999999999">
      <c r="A758" s="6">
        <v>43421.902337962965</v>
      </c>
      <c r="B758" s="7" t="str">
        <f>HYPERLINK("https://twitter.com/DwightDaavid_","@DwightDaavid_")</f>
        <v>@DwightDaavid_</v>
      </c>
      <c r="C758" s="8" t="s">
        <v>786</v>
      </c>
      <c r="D758" s="9" t="s">
        <v>2631</v>
      </c>
      <c r="E758" s="10" t="str">
        <f>HYPERLINK("https://twitter.com/DwightDaavid_/status/1063894386327633920","1063894386327633920")</f>
        <v>1063894386327633920</v>
      </c>
      <c r="F758" s="12"/>
      <c r="G758" s="12"/>
      <c r="H758" s="12"/>
      <c r="I758" s="13">
        <v>0</v>
      </c>
      <c r="J758" s="13">
        <v>1</v>
      </c>
      <c r="K758" s="14" t="str">
        <f>HYPERLINK("http://twitter.com/download/iphone","Twitter for iPhone")</f>
        <v>Twitter for iPhone</v>
      </c>
      <c r="L758" s="13">
        <v>59</v>
      </c>
      <c r="M758" s="13">
        <v>481</v>
      </c>
      <c r="N758" s="13">
        <v>0</v>
      </c>
      <c r="O758" s="15"/>
      <c r="P758" s="6">
        <v>41906.811261574076</v>
      </c>
      <c r="Q758" s="12"/>
      <c r="R758" s="17" t="s">
        <v>2632</v>
      </c>
      <c r="S758" s="12"/>
      <c r="T758" s="12"/>
      <c r="U758" s="10" t="str">
        <f>HYPERLINK("https://pbs.twimg.com/profile_images/1022485493966151680/jUpQmj8w.jpg","View")</f>
        <v>View</v>
      </c>
    </row>
    <row r="759" spans="1:21" ht="30.6">
      <c r="A759" s="6">
        <v>43421.901249999995</v>
      </c>
      <c r="B759" s="7" t="str">
        <f>HYPERLINK("https://twitter.com/sr_woop","@sr_woop")</f>
        <v>@sr_woop</v>
      </c>
      <c r="C759" s="8" t="s">
        <v>2633</v>
      </c>
      <c r="D759" s="9" t="s">
        <v>2634</v>
      </c>
      <c r="E759" s="10" t="str">
        <f>HYPERLINK("https://twitter.com/sr_woop/status/1063893990041415681","1063893990041415681")</f>
        <v>1063893990041415681</v>
      </c>
      <c r="F759" s="11" t="s">
        <v>2635</v>
      </c>
      <c r="G759" s="12"/>
      <c r="H759" s="12"/>
      <c r="I759" s="13">
        <v>0</v>
      </c>
      <c r="J759" s="13">
        <v>0</v>
      </c>
      <c r="K759" s="14" t="str">
        <f t="shared" ref="K759:K764" si="242">HYPERLINK("http://twitter.com/download/android","Twitter for Android")</f>
        <v>Twitter for Android</v>
      </c>
      <c r="L759" s="13">
        <v>105</v>
      </c>
      <c r="M759" s="13">
        <v>187</v>
      </c>
      <c r="N759" s="13">
        <v>0</v>
      </c>
      <c r="O759" s="15"/>
      <c r="P759" s="6">
        <v>43293.445659722223</v>
      </c>
      <c r="Q759" s="16" t="s">
        <v>437</v>
      </c>
      <c r="R759" s="17" t="s">
        <v>2636</v>
      </c>
      <c r="S759" s="12"/>
      <c r="T759" s="12"/>
      <c r="U759" s="10" t="str">
        <f>HYPERLINK("https://pbs.twimg.com/profile_images/1017328674167836672/xa3jmsEO.jpg","View")</f>
        <v>View</v>
      </c>
    </row>
    <row r="760" spans="1:21" ht="61.2">
      <c r="A760" s="6">
        <v>43421.900081018517</v>
      </c>
      <c r="B760" s="7" t="str">
        <f>HYPERLINK("https://twitter.com/psolidaridad","@psolidaridad")</f>
        <v>@psolidaridad</v>
      </c>
      <c r="C760" s="8" t="s">
        <v>270</v>
      </c>
      <c r="D760" s="9" t="s">
        <v>2637</v>
      </c>
      <c r="E760" s="10" t="str">
        <f>HYPERLINK("https://twitter.com/psolidaridad/status/1063893566383104000","1063893566383104000")</f>
        <v>1063893566383104000</v>
      </c>
      <c r="F760" s="12"/>
      <c r="G760" s="12"/>
      <c r="H760" s="12"/>
      <c r="I760" s="13">
        <v>1</v>
      </c>
      <c r="J760" s="13">
        <v>0</v>
      </c>
      <c r="K760" s="14" t="str">
        <f t="shared" si="242"/>
        <v>Twitter for Android</v>
      </c>
      <c r="L760" s="13">
        <v>1542</v>
      </c>
      <c r="M760" s="13">
        <v>4648</v>
      </c>
      <c r="N760" s="13">
        <v>1</v>
      </c>
      <c r="O760" s="15"/>
      <c r="P760" s="6">
        <v>41803.502372685187</v>
      </c>
      <c r="Q760" s="12"/>
      <c r="R760" s="17" t="s">
        <v>272</v>
      </c>
      <c r="S760" s="12"/>
      <c r="T760" s="12"/>
      <c r="U760" s="10" t="str">
        <f>HYPERLINK("https://pbs.twimg.com/profile_images/1030394358397317120/oQ0F2vnz.jpg","View")</f>
        <v>View</v>
      </c>
    </row>
    <row r="761" spans="1:21" ht="40.799999999999997">
      <c r="A761" s="6">
        <v>43421.896250000005</v>
      </c>
      <c r="B761" s="7" t="str">
        <f>HYPERLINK("https://twitter.com/MiltonBenedict","@MiltonBenedict")</f>
        <v>@MiltonBenedict</v>
      </c>
      <c r="C761" s="8" t="s">
        <v>2638</v>
      </c>
      <c r="D761" s="9" t="s">
        <v>2639</v>
      </c>
      <c r="E761" s="10" t="str">
        <f>HYPERLINK("https://twitter.com/MiltonBenedict/status/1063892178798370817","1063892178798370817")</f>
        <v>1063892178798370817</v>
      </c>
      <c r="F761" s="11" t="s">
        <v>2640</v>
      </c>
      <c r="G761" s="12"/>
      <c r="H761" s="12"/>
      <c r="I761" s="13">
        <v>0</v>
      </c>
      <c r="J761" s="13">
        <v>0</v>
      </c>
      <c r="K761" s="14" t="str">
        <f t="shared" si="242"/>
        <v>Twitter for Android</v>
      </c>
      <c r="L761" s="13">
        <v>7</v>
      </c>
      <c r="M761" s="13">
        <v>38</v>
      </c>
      <c r="N761" s="13">
        <v>0</v>
      </c>
      <c r="O761" s="15"/>
      <c r="P761" s="6">
        <v>43419.898634259254</v>
      </c>
      <c r="Q761" s="16" t="s">
        <v>44</v>
      </c>
      <c r="R761" s="17" t="s">
        <v>2641</v>
      </c>
      <c r="S761" s="12"/>
      <c r="T761" s="12"/>
      <c r="U761" s="10" t="str">
        <f>HYPERLINK("https://pbs.twimg.com/profile_images/1063172049466781703/8PETH5q3.jpg","View")</f>
        <v>View</v>
      </c>
    </row>
    <row r="762" spans="1:21" ht="51">
      <c r="A762" s="6">
        <v>43421.890393518523</v>
      </c>
      <c r="B762" s="7" t="str">
        <f>HYPERLINK("https://twitter.com/Gonzalo6910","@Gonzalo6910")</f>
        <v>@Gonzalo6910</v>
      </c>
      <c r="C762" s="8" t="s">
        <v>2642</v>
      </c>
      <c r="D762" s="9" t="s">
        <v>2643</v>
      </c>
      <c r="E762" s="10" t="str">
        <f>HYPERLINK("https://twitter.com/Gonzalo6910/status/1063890058544115714","1063890058544115714")</f>
        <v>1063890058544115714</v>
      </c>
      <c r="F762" s="11" t="s">
        <v>2644</v>
      </c>
      <c r="G762" s="12"/>
      <c r="H762" s="12"/>
      <c r="I762" s="13">
        <v>2</v>
      </c>
      <c r="J762" s="13">
        <v>4</v>
      </c>
      <c r="K762" s="14" t="str">
        <f t="shared" si="242"/>
        <v>Twitter for Android</v>
      </c>
      <c r="L762" s="13">
        <v>312</v>
      </c>
      <c r="M762" s="13">
        <v>791</v>
      </c>
      <c r="N762" s="13">
        <v>1</v>
      </c>
      <c r="O762" s="15"/>
      <c r="P762" s="6">
        <v>43332.05678240741</v>
      </c>
      <c r="Q762" s="16" t="s">
        <v>66</v>
      </c>
      <c r="R762" s="17" t="s">
        <v>2645</v>
      </c>
      <c r="S762" s="12"/>
      <c r="T762" s="12"/>
      <c r="U762" s="10" t="str">
        <f>HYPERLINK("https://pbs.twimg.com/profile_images/1031323124866969606/pfGzbjK0.jpg","View")</f>
        <v>View</v>
      </c>
    </row>
    <row r="763" spans="1:21" ht="40.799999999999997">
      <c r="A763" s="6">
        <v>43421.888854166667</v>
      </c>
      <c r="B763" s="7" t="str">
        <f>HYPERLINK("https://twitter.com/Victoria_de_VOX","@Victoria_de_VOX")</f>
        <v>@Victoria_de_VOX</v>
      </c>
      <c r="C763" s="24" t="s">
        <v>2646</v>
      </c>
      <c r="D763" s="9" t="s">
        <v>2647</v>
      </c>
      <c r="E763" s="10" t="str">
        <f>HYPERLINK("https://twitter.com/Victoria_de_VOX/status/1063889498189242369","1063889498189242369")</f>
        <v>1063889498189242369</v>
      </c>
      <c r="F763" s="12"/>
      <c r="G763" s="11" t="s">
        <v>2648</v>
      </c>
      <c r="H763" s="12"/>
      <c r="I763" s="13">
        <v>27</v>
      </c>
      <c r="J763" s="13">
        <v>40</v>
      </c>
      <c r="K763" s="14" t="str">
        <f t="shared" si="242"/>
        <v>Twitter for Android</v>
      </c>
      <c r="L763" s="13">
        <v>2802</v>
      </c>
      <c r="M763" s="13">
        <v>1835</v>
      </c>
      <c r="N763" s="13">
        <v>29</v>
      </c>
      <c r="O763" s="15"/>
      <c r="P763" s="6">
        <v>40800.728321759263</v>
      </c>
      <c r="Q763" s="16" t="s">
        <v>44</v>
      </c>
      <c r="R763" s="17" t="s">
        <v>2649</v>
      </c>
      <c r="S763" s="11" t="s">
        <v>187</v>
      </c>
      <c r="T763" s="12"/>
      <c r="U763" s="10" t="str">
        <f>HYPERLINK("https://pbs.twimg.com/profile_images/1057656367677358080/wVnJPxOc.jpg","View")</f>
        <v>View</v>
      </c>
    </row>
    <row r="764" spans="1:21" ht="51">
      <c r="A764" s="6">
        <v>43421.88108796296</v>
      </c>
      <c r="B764" s="7" t="str">
        <f>HYPERLINK("https://twitter.com/VictoriaCCSS","@VictoriaCCSS")</f>
        <v>@VictoriaCCSS</v>
      </c>
      <c r="C764" s="8" t="s">
        <v>2652</v>
      </c>
      <c r="D764" s="9" t="s">
        <v>2653</v>
      </c>
      <c r="E764" s="10" t="str">
        <f>HYPERLINK("https://twitter.com/VictoriaCCSS/status/1063886685560365057","1063886685560365057")</f>
        <v>1063886685560365057</v>
      </c>
      <c r="F764" s="11" t="s">
        <v>2654</v>
      </c>
      <c r="G764" s="12"/>
      <c r="H764" s="12"/>
      <c r="I764" s="13">
        <v>0</v>
      </c>
      <c r="J764" s="13">
        <v>0</v>
      </c>
      <c r="K764" s="14" t="str">
        <f t="shared" si="242"/>
        <v>Twitter for Android</v>
      </c>
      <c r="L764" s="13">
        <v>2496</v>
      </c>
      <c r="M764" s="13">
        <v>1793</v>
      </c>
      <c r="N764" s="13">
        <v>81</v>
      </c>
      <c r="O764" s="15"/>
      <c r="P764" s="6">
        <v>41148.530914351853</v>
      </c>
      <c r="Q764" s="16" t="s">
        <v>2657</v>
      </c>
      <c r="R764" s="17" t="s">
        <v>2658</v>
      </c>
      <c r="S764" s="12"/>
      <c r="T764" s="12"/>
      <c r="U764" s="10" t="str">
        <f>HYPERLINK("https://pbs.twimg.com/profile_images/992877059948105728/Qr6Ulk7n.jpg","View")</f>
        <v>View</v>
      </c>
    </row>
    <row r="765" spans="1:21" ht="20.399999999999999">
      <c r="A765" s="6">
        <v>43421.868958333333</v>
      </c>
      <c r="B765" s="7" t="str">
        <f>HYPERLINK("https://twitter.com/Desalentado1","@Desalentado1")</f>
        <v>@Desalentado1</v>
      </c>
      <c r="C765" s="8" t="s">
        <v>2735</v>
      </c>
      <c r="D765" s="9" t="s">
        <v>3180</v>
      </c>
      <c r="E765" s="10" t="str">
        <f>HYPERLINK("https://twitter.com/Desalentado1/status/1063882290630144000","1063882290630144000")</f>
        <v>1063882290630144000</v>
      </c>
      <c r="F765" s="11" t="s">
        <v>3182</v>
      </c>
      <c r="G765" s="12"/>
      <c r="H765" s="12"/>
      <c r="I765" s="13">
        <v>0</v>
      </c>
      <c r="J765" s="13">
        <v>1</v>
      </c>
      <c r="K765" s="14" t="str">
        <f>HYPERLINK("http://twitter.com","Twitter Web Client")</f>
        <v>Twitter Web Client</v>
      </c>
      <c r="L765" s="13">
        <v>12396</v>
      </c>
      <c r="M765" s="13">
        <v>5154</v>
      </c>
      <c r="N765" s="13">
        <v>81</v>
      </c>
      <c r="O765" s="15"/>
      <c r="P765" s="6">
        <v>40685.779027777782</v>
      </c>
      <c r="Q765" s="16" t="s">
        <v>104</v>
      </c>
      <c r="R765" s="21"/>
      <c r="S765" s="11" t="s">
        <v>2737</v>
      </c>
      <c r="T765" s="12"/>
      <c r="U765" s="10" t="str">
        <f>HYPERLINK("https://pbs.twimg.com/profile_images/1364748076/mono19.jpg","View")</f>
        <v>View</v>
      </c>
    </row>
    <row r="766" spans="1:21" ht="91.8">
      <c r="A766" s="6">
        <v>43421.855486111112</v>
      </c>
      <c r="B766" s="7" t="str">
        <f>HYPERLINK("https://twitter.com/javierglezv","@javierglezv")</f>
        <v>@javierglezv</v>
      </c>
      <c r="C766" s="8" t="s">
        <v>2659</v>
      </c>
      <c r="D766" s="9" t="s">
        <v>2660</v>
      </c>
      <c r="E766" s="10" t="str">
        <f>HYPERLINK("https://twitter.com/javierglezv/status/1063877406623186950","1063877406623186950")</f>
        <v>1063877406623186950</v>
      </c>
      <c r="F766" s="16" t="s">
        <v>2212</v>
      </c>
      <c r="G766" s="12"/>
      <c r="H766" s="12"/>
      <c r="I766" s="13">
        <v>0</v>
      </c>
      <c r="J766" s="13">
        <v>0</v>
      </c>
      <c r="K766" s="14" t="str">
        <f>HYPERLINK("http://twitter.com/download/android","Twitter for Android")</f>
        <v>Twitter for Android</v>
      </c>
      <c r="L766" s="13">
        <v>77</v>
      </c>
      <c r="M766" s="13">
        <v>331</v>
      </c>
      <c r="N766" s="13">
        <v>1</v>
      </c>
      <c r="O766" s="15"/>
      <c r="P766" s="6">
        <v>40459.404479166667</v>
      </c>
      <c r="Q766" s="12"/>
      <c r="R766" s="17" t="s">
        <v>2661</v>
      </c>
      <c r="S766" s="12"/>
      <c r="T766" s="12"/>
      <c r="U766" s="10" t="str">
        <f>HYPERLINK("https://pbs.twimg.com/profile_images/1848473917/6a00d8341bfb1653ef01538f495ecc970b-550wi.jpg","View")</f>
        <v>View</v>
      </c>
    </row>
    <row r="767" spans="1:21" ht="20.399999999999999">
      <c r="A767" s="6">
        <v>43421.847326388888</v>
      </c>
      <c r="B767" s="7" t="str">
        <f>HYPERLINK("https://twitter.com/SrMagikarpo","@SrMagikarpo")</f>
        <v>@SrMagikarpo</v>
      </c>
      <c r="C767" s="8" t="s">
        <v>2662</v>
      </c>
      <c r="D767" s="9" t="s">
        <v>2663</v>
      </c>
      <c r="E767" s="10" t="str">
        <f>HYPERLINK("https://twitter.com/SrMagikarpo/status/1063874452025458690","1063874452025458690")</f>
        <v>1063874452025458690</v>
      </c>
      <c r="F767" s="12"/>
      <c r="G767" s="12"/>
      <c r="H767" s="12"/>
      <c r="I767" s="13">
        <v>0</v>
      </c>
      <c r="J767" s="13">
        <v>0</v>
      </c>
      <c r="K767" s="14" t="str">
        <f t="shared" ref="K767:K768" si="243">HYPERLINK("http://twitter.com","Twitter Web Client")</f>
        <v>Twitter Web Client</v>
      </c>
      <c r="L767" s="13">
        <v>95</v>
      </c>
      <c r="M767" s="13">
        <v>122</v>
      </c>
      <c r="N767" s="13">
        <v>0</v>
      </c>
      <c r="O767" s="15"/>
      <c r="P767" s="6">
        <v>43255.004756944443</v>
      </c>
      <c r="Q767" s="16" t="s">
        <v>2664</v>
      </c>
      <c r="R767" s="17" t="s">
        <v>2665</v>
      </c>
      <c r="S767" s="12"/>
      <c r="T767" s="12"/>
      <c r="U767" s="10" t="str">
        <f>HYPERLINK("https://pbs.twimg.com/profile_images/1003400085743554561/MmHlknbu.jpg","View")</f>
        <v>View</v>
      </c>
    </row>
    <row r="768" spans="1:21" ht="71.400000000000006">
      <c r="A768" s="6">
        <v>43421.839953703704</v>
      </c>
      <c r="B768" s="7" t="str">
        <f>HYPERLINK("https://twitter.com/DavyKJ","@DavyKJ")</f>
        <v>@DavyKJ</v>
      </c>
      <c r="C768" s="8" t="s">
        <v>3185</v>
      </c>
      <c r="D768" s="9" t="s">
        <v>3186</v>
      </c>
      <c r="E768" s="10" t="str">
        <f>HYPERLINK("https://twitter.com/DavyKJ/status/1063871778039259136","1063871778039259136")</f>
        <v>1063871778039259136</v>
      </c>
      <c r="F768" s="11" t="s">
        <v>3189</v>
      </c>
      <c r="G768" s="11" t="s">
        <v>2673</v>
      </c>
      <c r="H768" s="12"/>
      <c r="I768" s="13">
        <v>0</v>
      </c>
      <c r="J768" s="13">
        <v>0</v>
      </c>
      <c r="K768" s="14" t="str">
        <f t="shared" si="243"/>
        <v>Twitter Web Client</v>
      </c>
      <c r="L768" s="13">
        <v>449</v>
      </c>
      <c r="M768" s="13">
        <v>282</v>
      </c>
      <c r="N768" s="13">
        <v>14</v>
      </c>
      <c r="O768" s="15"/>
      <c r="P768" s="6">
        <v>40304.97215277778</v>
      </c>
      <c r="Q768" s="16" t="s">
        <v>3191</v>
      </c>
      <c r="R768" s="17" t="s">
        <v>3192</v>
      </c>
      <c r="S768" s="12"/>
      <c r="T768" s="12"/>
      <c r="U768" s="10" t="str">
        <f>HYPERLINK("https://pbs.twimg.com/profile_images/891738245419196423/hKPtBPCB.jpg","View")</f>
        <v>View</v>
      </c>
    </row>
    <row r="769" spans="1:21" ht="40.799999999999997">
      <c r="A769" s="6">
        <v>43421.838310185187</v>
      </c>
      <c r="B769" s="7" t="str">
        <f>HYPERLINK("https://twitter.com/fdenaes","@fdenaes")</f>
        <v>@fdenaes</v>
      </c>
      <c r="C769" s="8" t="s">
        <v>2666</v>
      </c>
      <c r="D769" s="9" t="s">
        <v>2667</v>
      </c>
      <c r="E769" s="10" t="str">
        <f>HYPERLINK("https://twitter.com/fdenaes/status/1063871184075407360","1063871184075407360")</f>
        <v>1063871184075407360</v>
      </c>
      <c r="F769" s="11" t="s">
        <v>1537</v>
      </c>
      <c r="G769" s="12"/>
      <c r="H769" s="12"/>
      <c r="I769" s="13">
        <v>108</v>
      </c>
      <c r="J769" s="13">
        <v>112</v>
      </c>
      <c r="K769" s="14" t="str">
        <f>HYPERLINK("http://twitter.com/download/android","Twitter for Android")</f>
        <v>Twitter for Android</v>
      </c>
      <c r="L769" s="13">
        <v>20923</v>
      </c>
      <c r="M769" s="13">
        <v>334</v>
      </c>
      <c r="N769" s="13">
        <v>192</v>
      </c>
      <c r="O769" s="15"/>
      <c r="P769" s="6">
        <v>40522.406168981484</v>
      </c>
      <c r="Q769" s="16" t="s">
        <v>66</v>
      </c>
      <c r="R769" s="17" t="s">
        <v>2668</v>
      </c>
      <c r="S769" s="11" t="s">
        <v>2669</v>
      </c>
      <c r="T769" s="12"/>
      <c r="U769" s="10" t="str">
        <f>HYPERLINK("https://pbs.twimg.com/profile_images/378800000429495147/a3369ddbd1b31211bb59e0af0709db22.jpeg","View")</f>
        <v>View</v>
      </c>
    </row>
    <row r="770" spans="1:21" ht="61.2">
      <c r="A770" s="6">
        <v>43421.833726851852</v>
      </c>
      <c r="B770" s="7" t="str">
        <f>HYPERLINK("https://twitter.com/ElDoctorMabuse","@ElDoctorMabuse")</f>
        <v>@ElDoctorMabuse</v>
      </c>
      <c r="C770" s="8" t="s">
        <v>1122</v>
      </c>
      <c r="D770" s="9" t="s">
        <v>2670</v>
      </c>
      <c r="E770" s="10" t="str">
        <f>HYPERLINK("https://twitter.com/ElDoctorMabuse/status/1063869523294597128","1063869523294597128")</f>
        <v>1063869523294597128</v>
      </c>
      <c r="F770" s="12"/>
      <c r="G770" s="11" t="s">
        <v>2671</v>
      </c>
      <c r="H770" s="12"/>
      <c r="I770" s="13">
        <v>0</v>
      </c>
      <c r="J770" s="13">
        <v>0</v>
      </c>
      <c r="K770" s="14" t="str">
        <f>HYPERLINK("http://twitter.com/#!/download/ipad","Twitter for iPad")</f>
        <v>Twitter for iPad</v>
      </c>
      <c r="L770" s="13">
        <v>243</v>
      </c>
      <c r="M770" s="13">
        <v>535</v>
      </c>
      <c r="N770" s="13">
        <v>11</v>
      </c>
      <c r="O770" s="15"/>
      <c r="P770" s="6">
        <v>40273.293067129627</v>
      </c>
      <c r="Q770" s="16" t="s">
        <v>1126</v>
      </c>
      <c r="R770" s="17" t="s">
        <v>1127</v>
      </c>
      <c r="S770" s="11" t="s">
        <v>1128</v>
      </c>
      <c r="T770" s="12"/>
      <c r="U770" s="10" t="str">
        <f>HYPERLINK("https://pbs.twimg.com/profile_images/442391428069879808/46XrmQAl.jpeg","View")</f>
        <v>View</v>
      </c>
    </row>
    <row r="771" spans="1:21" ht="61.2">
      <c r="A771" s="6">
        <v>43421.833402777775</v>
      </c>
      <c r="B771" s="7" t="str">
        <f>HYPERLINK("https://twitter.com/ZassCometro","@ZassCometro")</f>
        <v>@ZassCometro</v>
      </c>
      <c r="C771" s="8" t="s">
        <v>1474</v>
      </c>
      <c r="D771" s="9" t="s">
        <v>2672</v>
      </c>
      <c r="E771" s="10" t="str">
        <f>HYPERLINK("https://twitter.com/ZassCometro/status/1063869403362676736","1063869403362676736")</f>
        <v>1063869403362676736</v>
      </c>
      <c r="F771" s="12"/>
      <c r="G771" s="11" t="s">
        <v>2673</v>
      </c>
      <c r="H771" s="12"/>
      <c r="I771" s="13">
        <v>144</v>
      </c>
      <c r="J771" s="13">
        <v>204</v>
      </c>
      <c r="K771" s="14" t="str">
        <f>HYPERLINK("http://twitter.com","Twitter Web Client")</f>
        <v>Twitter Web Client</v>
      </c>
      <c r="L771" s="13">
        <v>39567</v>
      </c>
      <c r="M771" s="13">
        <v>3885</v>
      </c>
      <c r="N771" s="13">
        <v>181</v>
      </c>
      <c r="O771" s="15"/>
      <c r="P771" s="6">
        <v>42788.119930555556</v>
      </c>
      <c r="Q771" s="12"/>
      <c r="R771" s="17" t="s">
        <v>1479</v>
      </c>
      <c r="S771" s="11" t="s">
        <v>1480</v>
      </c>
      <c r="T771" s="12"/>
      <c r="U771" s="10" t="str">
        <f>HYPERLINK("https://pbs.twimg.com/profile_images/834377218734354432/YN1XqcBy.jpg","View")</f>
        <v>View</v>
      </c>
    </row>
    <row r="772" spans="1:21" ht="91.8">
      <c r="A772" s="6">
        <v>43421.826458333337</v>
      </c>
      <c r="B772" s="7" t="str">
        <f>HYPERLINK("https://twitter.com/RaPiqFu","@RaPiqFu")</f>
        <v>@RaPiqFu</v>
      </c>
      <c r="C772" s="8" t="s">
        <v>1029</v>
      </c>
      <c r="D772" s="9" t="s">
        <v>2675</v>
      </c>
      <c r="E772" s="10" t="str">
        <f>HYPERLINK("https://twitter.com/RaPiqFu/status/1063866887480766464","1063866887480766464")</f>
        <v>1063866887480766464</v>
      </c>
      <c r="F772" s="11" t="s">
        <v>2425</v>
      </c>
      <c r="G772" s="11" t="s">
        <v>2321</v>
      </c>
      <c r="H772" s="12"/>
      <c r="I772" s="13">
        <v>0</v>
      </c>
      <c r="J772" s="13">
        <v>0</v>
      </c>
      <c r="K772" s="14" t="str">
        <f t="shared" ref="K772:K773" si="244">HYPERLINK("http://twitter.com/download/android","Twitter for Android")</f>
        <v>Twitter for Android</v>
      </c>
      <c r="L772" s="13">
        <v>1578</v>
      </c>
      <c r="M772" s="13">
        <v>808</v>
      </c>
      <c r="N772" s="13">
        <v>21</v>
      </c>
      <c r="O772" s="15"/>
      <c r="P772" s="6">
        <v>40595.905127314814</v>
      </c>
      <c r="Q772" s="16" t="s">
        <v>953</v>
      </c>
      <c r="R772" s="17" t="s">
        <v>1031</v>
      </c>
      <c r="S772" s="12"/>
      <c r="T772" s="12"/>
      <c r="U772" s="10" t="str">
        <f>HYPERLINK("https://pbs.twimg.com/profile_images/1059362479975923713/VEYq9v5X.jpg","View")</f>
        <v>View</v>
      </c>
    </row>
    <row r="773" spans="1:21" ht="40.799999999999997">
      <c r="A773" s="6">
        <v>43421.814305555556</v>
      </c>
      <c r="B773" s="7" t="str">
        <f>HYPERLINK("https://twitter.com/cesar_fidalgo","@cesar_fidalgo")</f>
        <v>@cesar_fidalgo</v>
      </c>
      <c r="C773" s="8" t="s">
        <v>3205</v>
      </c>
      <c r="D773" s="9" t="s">
        <v>3206</v>
      </c>
      <c r="E773" s="10" t="str">
        <f>HYPERLINK("https://twitter.com/cesar_fidalgo/status/1063862485260922881","1063862485260922881")</f>
        <v>1063862485260922881</v>
      </c>
      <c r="F773" s="12"/>
      <c r="G773" s="11" t="s">
        <v>3210</v>
      </c>
      <c r="H773" s="12"/>
      <c r="I773" s="13">
        <v>0</v>
      </c>
      <c r="J773" s="13">
        <v>1</v>
      </c>
      <c r="K773" s="14" t="str">
        <f t="shared" si="244"/>
        <v>Twitter for Android</v>
      </c>
      <c r="L773" s="13">
        <v>172</v>
      </c>
      <c r="M773" s="13">
        <v>298</v>
      </c>
      <c r="N773" s="13">
        <v>2</v>
      </c>
      <c r="O773" s="15"/>
      <c r="P773" s="6">
        <v>40564.864027777774</v>
      </c>
      <c r="Q773" s="16" t="s">
        <v>3211</v>
      </c>
      <c r="R773" s="17" t="s">
        <v>3212</v>
      </c>
      <c r="S773" s="12"/>
      <c r="T773" s="12"/>
      <c r="U773" s="10" t="str">
        <f>HYPERLINK("https://pbs.twimg.com/profile_images/972187317573218306/cZuTM3RD.jpg","View")</f>
        <v>View</v>
      </c>
    </row>
    <row r="774" spans="1:21" ht="30.6">
      <c r="A774" s="6">
        <v>43421.813449074078</v>
      </c>
      <c r="B774" s="7" t="str">
        <f>HYPERLINK("https://twitter.com/COPE","@COPE")</f>
        <v>@COPE</v>
      </c>
      <c r="C774" s="8" t="s">
        <v>2676</v>
      </c>
      <c r="D774" s="9" t="s">
        <v>2677</v>
      </c>
      <c r="E774" s="10" t="str">
        <f>HYPERLINK("https://twitter.com/COPE/status/1063862173435392007","1063862173435392007")</f>
        <v>1063862173435392007</v>
      </c>
      <c r="F774" s="11" t="s">
        <v>2678</v>
      </c>
      <c r="G774" s="12"/>
      <c r="H774" s="12"/>
      <c r="I774" s="13">
        <v>255</v>
      </c>
      <c r="J774" s="13">
        <v>545</v>
      </c>
      <c r="K774" s="14" t="str">
        <f>HYPERLINK("http://dogtrack.es","DogTrack_Oficial")</f>
        <v>DogTrack_Oficial</v>
      </c>
      <c r="L774" s="13">
        <v>352773</v>
      </c>
      <c r="M774" s="13">
        <v>149</v>
      </c>
      <c r="N774" s="13">
        <v>3087</v>
      </c>
      <c r="O774" s="23" t="s">
        <v>186</v>
      </c>
      <c r="P774" s="6">
        <v>39381.538321759261</v>
      </c>
      <c r="Q774" s="16" t="s">
        <v>44</v>
      </c>
      <c r="R774" s="17" t="s">
        <v>2679</v>
      </c>
      <c r="S774" s="11" t="s">
        <v>2680</v>
      </c>
      <c r="T774" s="12"/>
      <c r="U774" s="10" t="str">
        <f>HYPERLINK("https://pbs.twimg.com/profile_images/1063097716031533059/yAe1j-56.jpg","View")</f>
        <v>View</v>
      </c>
    </row>
    <row r="775" spans="1:21" ht="61.2">
      <c r="A775" s="6">
        <v>43421.808900462958</v>
      </c>
      <c r="B775" s="7" t="str">
        <f>HYPERLINK("https://twitter.com/psolidaridad","@psolidaridad")</f>
        <v>@psolidaridad</v>
      </c>
      <c r="C775" s="8" t="s">
        <v>270</v>
      </c>
      <c r="D775" s="9" t="s">
        <v>2681</v>
      </c>
      <c r="E775" s="10" t="str">
        <f>HYPERLINK("https://twitter.com/psolidaridad/status/1063860523916242944","1063860523916242944")</f>
        <v>1063860523916242944</v>
      </c>
      <c r="F775" s="11" t="s">
        <v>2682</v>
      </c>
      <c r="G775" s="12"/>
      <c r="H775" s="12"/>
      <c r="I775" s="13">
        <v>2</v>
      </c>
      <c r="J775" s="13">
        <v>0</v>
      </c>
      <c r="K775" s="14" t="str">
        <f t="shared" ref="K775:K777" si="245">HYPERLINK("http://twitter.com/download/android","Twitter for Android")</f>
        <v>Twitter for Android</v>
      </c>
      <c r="L775" s="13">
        <v>1542</v>
      </c>
      <c r="M775" s="13">
        <v>4648</v>
      </c>
      <c r="N775" s="13">
        <v>1</v>
      </c>
      <c r="O775" s="15"/>
      <c r="P775" s="6">
        <v>41803.502372685187</v>
      </c>
      <c r="Q775" s="12"/>
      <c r="R775" s="17" t="s">
        <v>272</v>
      </c>
      <c r="S775" s="12"/>
      <c r="T775" s="12"/>
      <c r="U775" s="10" t="str">
        <f>HYPERLINK("https://pbs.twimg.com/profile_images/1030394358397317120/oQ0F2vnz.jpg","View")</f>
        <v>View</v>
      </c>
    </row>
    <row r="776" spans="1:21" ht="51">
      <c r="A776" s="6">
        <v>43421.796944444446</v>
      </c>
      <c r="B776" s="7" t="str">
        <f>HYPERLINK("https://twitter.com/CIUDADANO72","@CIUDADANO72")</f>
        <v>@CIUDADANO72</v>
      </c>
      <c r="C776" s="8" t="s">
        <v>2683</v>
      </c>
      <c r="D776" s="9" t="s">
        <v>2684</v>
      </c>
      <c r="E776" s="10" t="str">
        <f>HYPERLINK("https://twitter.com/CIUDADANO72/status/1063856191644798977","1063856191644798977")</f>
        <v>1063856191644798977</v>
      </c>
      <c r="F776" s="11" t="s">
        <v>2685</v>
      </c>
      <c r="G776" s="11" t="s">
        <v>2686</v>
      </c>
      <c r="H776" s="12"/>
      <c r="I776" s="13">
        <v>0</v>
      </c>
      <c r="J776" s="13">
        <v>0</v>
      </c>
      <c r="K776" s="14" t="str">
        <f t="shared" si="245"/>
        <v>Twitter for Android</v>
      </c>
      <c r="L776" s="13">
        <v>728</v>
      </c>
      <c r="M776" s="13">
        <v>720</v>
      </c>
      <c r="N776" s="13">
        <v>24</v>
      </c>
      <c r="O776" s="15"/>
      <c r="P776" s="6">
        <v>40217.831504629634</v>
      </c>
      <c r="Q776" s="16" t="s">
        <v>423</v>
      </c>
      <c r="R776" s="17" t="s">
        <v>2687</v>
      </c>
      <c r="S776" s="12"/>
      <c r="T776" s="12"/>
      <c r="U776" s="10" t="str">
        <f>HYPERLINK("https://pbs.twimg.com/profile_images/1047082739592306690/X1BAfa3r.jpg","View")</f>
        <v>View</v>
      </c>
    </row>
    <row r="777" spans="1:21" ht="51">
      <c r="A777" s="6">
        <v>43421.795659722222</v>
      </c>
      <c r="B777" s="7" t="str">
        <f>HYPERLINK("https://twitter.com/profesorjaen","@profesorjaen")</f>
        <v>@profesorjaen</v>
      </c>
      <c r="C777" s="8" t="s">
        <v>2688</v>
      </c>
      <c r="D777" s="9" t="s">
        <v>2689</v>
      </c>
      <c r="E777" s="10" t="str">
        <f>HYPERLINK("https://twitter.com/profesorjaen/status/1063855725728972800","1063855725728972800")</f>
        <v>1063855725728972800</v>
      </c>
      <c r="F777" s="11" t="s">
        <v>2690</v>
      </c>
      <c r="G777" s="12"/>
      <c r="H777" s="12"/>
      <c r="I777" s="13">
        <v>5</v>
      </c>
      <c r="J777" s="13">
        <v>6</v>
      </c>
      <c r="K777" s="14" t="str">
        <f t="shared" si="245"/>
        <v>Twitter for Android</v>
      </c>
      <c r="L777" s="13">
        <v>6310</v>
      </c>
      <c r="M777" s="13">
        <v>210</v>
      </c>
      <c r="N777" s="13">
        <v>118</v>
      </c>
      <c r="O777" s="15"/>
      <c r="P777" s="6">
        <v>40844.911736111113</v>
      </c>
      <c r="Q777" s="16" t="s">
        <v>66</v>
      </c>
      <c r="R777" s="17" t="s">
        <v>2691</v>
      </c>
      <c r="S777" s="11" t="s">
        <v>2692</v>
      </c>
      <c r="T777" s="12"/>
      <c r="U777" s="10" t="str">
        <f>HYPERLINK("https://pbs.twimg.com/profile_images/914109676748509184/ubpWdGIE.jpg","View")</f>
        <v>View</v>
      </c>
    </row>
    <row r="778" spans="1:21" ht="51">
      <c r="A778" s="6">
        <v>43421.79351851852</v>
      </c>
      <c r="B778" s="7" t="str">
        <f>HYPERLINK("https://twitter.com/JoseReig67","@JoseReig67")</f>
        <v>@JoseReig67</v>
      </c>
      <c r="C778" s="8" t="s">
        <v>2693</v>
      </c>
      <c r="D778" s="9" t="s">
        <v>2694</v>
      </c>
      <c r="E778" s="10" t="str">
        <f>HYPERLINK("https://twitter.com/JoseReig67/status/1063854952932626432","1063854952932626432")</f>
        <v>1063854952932626432</v>
      </c>
      <c r="F778" s="12"/>
      <c r="G778" s="12"/>
      <c r="H778" s="12"/>
      <c r="I778" s="13">
        <v>0</v>
      </c>
      <c r="J778" s="13">
        <v>1</v>
      </c>
      <c r="K778" s="14" t="str">
        <f>HYPERLINK("http://twitter.com/download/iphone","Twitter for iPhone")</f>
        <v>Twitter for iPhone</v>
      </c>
      <c r="L778" s="13">
        <v>15</v>
      </c>
      <c r="M778" s="13">
        <v>147</v>
      </c>
      <c r="N778" s="13">
        <v>0</v>
      </c>
      <c r="O778" s="15"/>
      <c r="P778" s="6">
        <v>42986.983854166669</v>
      </c>
      <c r="Q778" s="16" t="s">
        <v>1677</v>
      </c>
      <c r="R778" s="17" t="s">
        <v>2695</v>
      </c>
      <c r="S778" s="12"/>
      <c r="T778" s="12"/>
      <c r="U778" s="10" t="str">
        <f>HYPERLINK("https://pbs.twimg.com/profile_images/914561003706355713/cz3Vzkb1.jpg","View")</f>
        <v>View</v>
      </c>
    </row>
    <row r="779" spans="1:21" ht="40.799999999999997">
      <c r="A779" s="6">
        <v>43421.79305555555</v>
      </c>
      <c r="B779" s="7" t="str">
        <f>HYPERLINK("https://twitter.com/bitMomentum","@bitMomentum")</f>
        <v>@bitMomentum</v>
      </c>
      <c r="C779" s="8" t="s">
        <v>368</v>
      </c>
      <c r="D779" s="9" t="s">
        <v>2696</v>
      </c>
      <c r="E779" s="10" t="str">
        <f>HYPERLINK("https://twitter.com/bitMomentum/status/1063854782119591938","1063854782119591938")</f>
        <v>1063854782119591938</v>
      </c>
      <c r="F779" s="12"/>
      <c r="G779" s="12"/>
      <c r="H779" s="12"/>
      <c r="I779" s="13">
        <v>0</v>
      </c>
      <c r="J779" s="13">
        <v>0</v>
      </c>
      <c r="K779" s="14" t="str">
        <f>HYPERLINK("http://www.bitmomentum.com","bitMomentum Bot")</f>
        <v>bitMomentum Bot</v>
      </c>
      <c r="L779" s="13">
        <v>10132</v>
      </c>
      <c r="M779" s="13">
        <v>1060</v>
      </c>
      <c r="N779" s="13">
        <v>267</v>
      </c>
      <c r="O779" s="15"/>
      <c r="P779" s="6">
        <v>41608.667511574073</v>
      </c>
      <c r="Q779" s="12"/>
      <c r="R779" s="17" t="s">
        <v>371</v>
      </c>
      <c r="S779" s="11" t="s">
        <v>372</v>
      </c>
      <c r="T779" s="12"/>
      <c r="U779" s="10" t="str">
        <f>HYPERLINK("https://pbs.twimg.com/profile_images/378800000862185241/20ij2H3u.png","View")</f>
        <v>View</v>
      </c>
    </row>
    <row r="780" spans="1:21" ht="61.2">
      <c r="A780" s="6">
        <v>43421.790706018517</v>
      </c>
      <c r="B780" s="7" t="str">
        <f>HYPERLINK("https://twitter.com/jjardimTD","@jjardimTD")</f>
        <v>@jjardimTD</v>
      </c>
      <c r="C780" s="8" t="s">
        <v>2697</v>
      </c>
      <c r="D780" s="9" t="s">
        <v>2698</v>
      </c>
      <c r="E780" s="10" t="str">
        <f>HYPERLINK("https://twitter.com/jjardimTD/status/1063853930495598592","1063853930495598592")</f>
        <v>1063853930495598592</v>
      </c>
      <c r="F780" s="12"/>
      <c r="G780" s="11" t="s">
        <v>2699</v>
      </c>
      <c r="H780" s="12"/>
      <c r="I780" s="13">
        <v>0</v>
      </c>
      <c r="J780" s="13">
        <v>2</v>
      </c>
      <c r="K780" s="14" t="str">
        <f t="shared" ref="K780:K783" si="246">HYPERLINK("http://twitter.com/download/android","Twitter for Android")</f>
        <v>Twitter for Android</v>
      </c>
      <c r="L780" s="13">
        <v>25</v>
      </c>
      <c r="M780" s="13">
        <v>109</v>
      </c>
      <c r="N780" s="13">
        <v>0</v>
      </c>
      <c r="O780" s="15"/>
      <c r="P780" s="6">
        <v>42811.455057870371</v>
      </c>
      <c r="Q780" s="16" t="s">
        <v>2700</v>
      </c>
      <c r="R780" s="17" t="s">
        <v>2701</v>
      </c>
      <c r="S780" s="12"/>
      <c r="T780" s="12"/>
      <c r="U780" s="10" t="str">
        <f>HYPERLINK("https://pbs.twimg.com/profile_images/1061693412175417346/hEK-attu.jpg","View")</f>
        <v>View</v>
      </c>
    </row>
    <row r="781" spans="1:21" ht="30.6">
      <c r="A781" s="6">
        <v>43421.787627314814</v>
      </c>
      <c r="B781" s="7" t="str">
        <f>HYPERLINK("https://twitter.com/lunadebenidorm","@lunadebenidorm")</f>
        <v>@lunadebenidorm</v>
      </c>
      <c r="C781" s="8" t="s">
        <v>106</v>
      </c>
      <c r="D781" s="9" t="s">
        <v>2702</v>
      </c>
      <c r="E781" s="10" t="str">
        <f>HYPERLINK("https://twitter.com/lunadebenidorm/status/1063852815834058753","1063852815834058753")</f>
        <v>1063852815834058753</v>
      </c>
      <c r="F781" s="11" t="s">
        <v>2703</v>
      </c>
      <c r="G781" s="11" t="s">
        <v>2704</v>
      </c>
      <c r="H781" s="12"/>
      <c r="I781" s="13">
        <v>0</v>
      </c>
      <c r="J781" s="13">
        <v>0</v>
      </c>
      <c r="K781" s="14" t="str">
        <f t="shared" si="246"/>
        <v>Twitter for Android</v>
      </c>
      <c r="L781" s="13">
        <v>3991</v>
      </c>
      <c r="M781" s="13">
        <v>3978</v>
      </c>
      <c r="N781" s="13">
        <v>79</v>
      </c>
      <c r="O781" s="15"/>
      <c r="P781" s="6">
        <v>41461.81186342593</v>
      </c>
      <c r="Q781" s="12"/>
      <c r="R781" s="17" t="s">
        <v>108</v>
      </c>
      <c r="S781" s="12"/>
      <c r="T781" s="12"/>
      <c r="U781" s="10" t="str">
        <f>HYPERLINK("https://pbs.twimg.com/profile_images/1061229593758257153/rePCQt08.jpg","View")</f>
        <v>View</v>
      </c>
    </row>
    <row r="782" spans="1:21" ht="102">
      <c r="A782" s="6">
        <v>43421.781111111108</v>
      </c>
      <c r="B782" s="7" t="str">
        <f>HYPERLINK("https://twitter.com/catiberic","@catiberic")</f>
        <v>@catiberic</v>
      </c>
      <c r="C782" s="8" t="s">
        <v>2706</v>
      </c>
      <c r="D782" s="9" t="s">
        <v>2707</v>
      </c>
      <c r="E782" s="10" t="str">
        <f>HYPERLINK("https://twitter.com/catiberic/status/1063850456731041792","1063850456731041792")</f>
        <v>1063850456731041792</v>
      </c>
      <c r="F782" s="11" t="s">
        <v>2708</v>
      </c>
      <c r="G782" s="11" t="s">
        <v>2709</v>
      </c>
      <c r="H782" s="12"/>
      <c r="I782" s="13">
        <v>0</v>
      </c>
      <c r="J782" s="13">
        <v>0</v>
      </c>
      <c r="K782" s="14" t="str">
        <f t="shared" si="246"/>
        <v>Twitter for Android</v>
      </c>
      <c r="L782" s="13">
        <v>522</v>
      </c>
      <c r="M782" s="13">
        <v>599</v>
      </c>
      <c r="N782" s="13">
        <v>1</v>
      </c>
      <c r="O782" s="15"/>
      <c r="P782" s="6">
        <v>43107.03225694444</v>
      </c>
      <c r="Q782" s="12"/>
      <c r="R782" s="17" t="s">
        <v>2710</v>
      </c>
      <c r="S782" s="12"/>
      <c r="T782" s="12"/>
      <c r="U782" s="10" t="str">
        <f>HYPERLINK("https://pbs.twimg.com/profile_images/1041018260823728128/OoNgFG9b.jpg","View")</f>
        <v>View</v>
      </c>
    </row>
    <row r="783" spans="1:21" ht="20.399999999999999">
      <c r="A783" s="6">
        <v>43421.777881944443</v>
      </c>
      <c r="B783" s="7" t="str">
        <f>HYPERLINK("https://twitter.com/JosepLCardo","@JosepLCardo")</f>
        <v>@JosepLCardo</v>
      </c>
      <c r="C783" s="8" t="s">
        <v>1401</v>
      </c>
      <c r="D783" s="9" t="s">
        <v>2714</v>
      </c>
      <c r="E783" s="10" t="str">
        <f>HYPERLINK("https://twitter.com/JosepLCardo/status/1063849283743637511","1063849283743637511")</f>
        <v>1063849283743637511</v>
      </c>
      <c r="F783" s="12"/>
      <c r="G783" s="11" t="s">
        <v>2715</v>
      </c>
      <c r="H783" s="12"/>
      <c r="I783" s="13">
        <v>0</v>
      </c>
      <c r="J783" s="13">
        <v>0</v>
      </c>
      <c r="K783" s="14" t="str">
        <f t="shared" si="246"/>
        <v>Twitter for Android</v>
      </c>
      <c r="L783" s="13">
        <v>497</v>
      </c>
      <c r="M783" s="13">
        <v>2035</v>
      </c>
      <c r="N783" s="13">
        <v>6</v>
      </c>
      <c r="O783" s="15"/>
      <c r="P783" s="6">
        <v>40706.83699074074</v>
      </c>
      <c r="Q783" s="16" t="s">
        <v>1405</v>
      </c>
      <c r="R783" s="17" t="s">
        <v>1406</v>
      </c>
      <c r="S783" s="11" t="s">
        <v>1407</v>
      </c>
      <c r="T783" s="12"/>
      <c r="U783" s="10" t="str">
        <f>HYPERLINK("https://pbs.twimg.com/profile_images/1064444034477895680/2b9j2aNN.jpg","View")</f>
        <v>View</v>
      </c>
    </row>
    <row r="784" spans="1:21" ht="91.8">
      <c r="A784" s="6">
        <v>43421.775023148148</v>
      </c>
      <c r="B784" s="7" t="str">
        <f>HYPERLINK("https://twitter.com/El_Cid_Vive","@El_Cid_Vive")</f>
        <v>@El_Cid_Vive</v>
      </c>
      <c r="C784" s="8" t="s">
        <v>2076</v>
      </c>
      <c r="D784" s="9" t="s">
        <v>2716</v>
      </c>
      <c r="E784" s="10" t="str">
        <f>HYPERLINK("https://twitter.com/El_Cid_Vive/status/1063848250183163906","1063848250183163906")</f>
        <v>1063848250183163906</v>
      </c>
      <c r="F784" s="11" t="s">
        <v>2425</v>
      </c>
      <c r="G784" s="11" t="s">
        <v>2321</v>
      </c>
      <c r="H784" s="12"/>
      <c r="I784" s="13">
        <v>0</v>
      </c>
      <c r="J784" s="13">
        <v>0</v>
      </c>
      <c r="K784" s="14" t="str">
        <f t="shared" ref="K784:K788" si="247">HYPERLINK("http://twitter.com/download/iphone","Twitter for iPhone")</f>
        <v>Twitter for iPhone</v>
      </c>
      <c r="L784" s="13">
        <v>128</v>
      </c>
      <c r="M784" s="13">
        <v>147</v>
      </c>
      <c r="N784" s="13">
        <v>2</v>
      </c>
      <c r="O784" s="15"/>
      <c r="P784" s="6">
        <v>42012.027349537035</v>
      </c>
      <c r="Q784" s="16" t="s">
        <v>2080</v>
      </c>
      <c r="R784" s="17" t="s">
        <v>2081</v>
      </c>
      <c r="S784" s="12"/>
      <c r="T784" s="12"/>
      <c r="U784" s="10" t="str">
        <f>HYPERLINK("https://pbs.twimg.com/profile_images/553161905561681920/k3k0IcCC.jpeg","View")</f>
        <v>View</v>
      </c>
    </row>
    <row r="785" spans="1:21" ht="71.400000000000006">
      <c r="A785" s="6">
        <v>43421.772534722222</v>
      </c>
      <c r="B785" s="7" t="str">
        <f>HYPERLINK("https://twitter.com/ATCoco2017","@ATCoco2017")</f>
        <v>@ATCoco2017</v>
      </c>
      <c r="C785" s="8" t="s">
        <v>2717</v>
      </c>
      <c r="D785" s="9" t="s">
        <v>2718</v>
      </c>
      <c r="E785" s="10" t="str">
        <f>HYPERLINK("https://twitter.com/ATCoco2017/status/1063847346709123073","1063847346709123073")</f>
        <v>1063847346709123073</v>
      </c>
      <c r="F785" s="16" t="s">
        <v>2719</v>
      </c>
      <c r="G785" s="12"/>
      <c r="H785" s="12"/>
      <c r="I785" s="13">
        <v>0</v>
      </c>
      <c r="J785" s="13">
        <v>0</v>
      </c>
      <c r="K785" s="14" t="str">
        <f t="shared" si="247"/>
        <v>Twitter for iPhone</v>
      </c>
      <c r="L785" s="13">
        <v>317</v>
      </c>
      <c r="M785" s="13">
        <v>83</v>
      </c>
      <c r="N785" s="13">
        <v>2</v>
      </c>
      <c r="O785" s="15"/>
      <c r="P785" s="6">
        <v>43012.361898148149</v>
      </c>
      <c r="Q785" s="16" t="s">
        <v>1748</v>
      </c>
      <c r="R785" s="21"/>
      <c r="S785" s="12"/>
      <c r="T785" s="12"/>
      <c r="U785" s="10" t="str">
        <f>HYPERLINK("https://pbs.twimg.com/profile_images/953191161405026304/WmZYMXL5.jpg","View")</f>
        <v>View</v>
      </c>
    </row>
    <row r="786" spans="1:21" ht="40.799999999999997">
      <c r="A786" s="6">
        <v>43421.767500000002</v>
      </c>
      <c r="B786" s="7" t="str">
        <f>HYPERLINK("https://twitter.com/El_Cid_Vive","@El_Cid_Vive")</f>
        <v>@El_Cid_Vive</v>
      </c>
      <c r="C786" s="8" t="s">
        <v>2076</v>
      </c>
      <c r="D786" s="9" t="s">
        <v>2722</v>
      </c>
      <c r="E786" s="10" t="str">
        <f>HYPERLINK("https://twitter.com/El_Cid_Vive/status/1063845524057542657","1063845524057542657")</f>
        <v>1063845524057542657</v>
      </c>
      <c r="F786" s="11" t="s">
        <v>305</v>
      </c>
      <c r="G786" s="12"/>
      <c r="H786" s="12"/>
      <c r="I786" s="13">
        <v>1</v>
      </c>
      <c r="J786" s="13">
        <v>1</v>
      </c>
      <c r="K786" s="14" t="str">
        <f t="shared" si="247"/>
        <v>Twitter for iPhone</v>
      </c>
      <c r="L786" s="13">
        <v>128</v>
      </c>
      <c r="M786" s="13">
        <v>147</v>
      </c>
      <c r="N786" s="13">
        <v>2</v>
      </c>
      <c r="O786" s="15"/>
      <c r="P786" s="6">
        <v>42012.027349537035</v>
      </c>
      <c r="Q786" s="16" t="s">
        <v>2080</v>
      </c>
      <c r="R786" s="17" t="s">
        <v>2081</v>
      </c>
      <c r="S786" s="12"/>
      <c r="T786" s="12"/>
      <c r="U786" s="10" t="str">
        <f>HYPERLINK("https://pbs.twimg.com/profile_images/553161905561681920/k3k0IcCC.jpeg","View")</f>
        <v>View</v>
      </c>
    </row>
    <row r="787" spans="1:21" ht="51">
      <c r="A787" s="6">
        <v>43421.760335648149</v>
      </c>
      <c r="B787" s="7" t="str">
        <f>HYPERLINK("https://twitter.com/Alternativa_VOX","@Alternativa_VOX")</f>
        <v>@Alternativa_VOX</v>
      </c>
      <c r="C787" s="8" t="s">
        <v>977</v>
      </c>
      <c r="D787" s="9" t="s">
        <v>2725</v>
      </c>
      <c r="E787" s="10" t="str">
        <f>HYPERLINK("https://twitter.com/Alternativa_VOX/status/1063842927015796739","1063842927015796739")</f>
        <v>1063842927015796739</v>
      </c>
      <c r="F787" s="12"/>
      <c r="G787" s="11" t="s">
        <v>2727</v>
      </c>
      <c r="H787" s="12"/>
      <c r="I787" s="13">
        <v>114</v>
      </c>
      <c r="J787" s="13">
        <v>188</v>
      </c>
      <c r="K787" s="14" t="str">
        <f t="shared" si="247"/>
        <v>Twitter for iPhone</v>
      </c>
      <c r="L787" s="13">
        <v>14295</v>
      </c>
      <c r="M787" s="13">
        <v>2342</v>
      </c>
      <c r="N787" s="13">
        <v>63</v>
      </c>
      <c r="O787" s="15"/>
      <c r="P787" s="6">
        <v>42414.677303240736</v>
      </c>
      <c r="Q787" s="12"/>
      <c r="R787" s="17" t="s">
        <v>981</v>
      </c>
      <c r="S787" s="12"/>
      <c r="T787" s="12"/>
      <c r="U787" s="10" t="str">
        <f>HYPERLINK("https://pbs.twimg.com/profile_images/1054080233844936705/IYgqsUMs.jpg","View")</f>
        <v>View</v>
      </c>
    </row>
    <row r="788" spans="1:21" ht="91.8">
      <c r="A788" s="6">
        <v>43421.754155092596</v>
      </c>
      <c r="B788" s="7" t="str">
        <f>HYPERLINK("https://twitter.com/AlberRoC","@AlberRoC")</f>
        <v>@AlberRoC</v>
      </c>
      <c r="C788" s="8" t="s">
        <v>2243</v>
      </c>
      <c r="D788" s="9" t="s">
        <v>2728</v>
      </c>
      <c r="E788" s="10" t="str">
        <f>HYPERLINK("https://twitter.com/AlberRoC/status/1063840685772673025","1063840685772673025")</f>
        <v>1063840685772673025</v>
      </c>
      <c r="F788" s="11" t="s">
        <v>2729</v>
      </c>
      <c r="G788" s="12"/>
      <c r="H788" s="12"/>
      <c r="I788" s="13">
        <v>1</v>
      </c>
      <c r="J788" s="13">
        <v>1</v>
      </c>
      <c r="K788" s="14" t="str">
        <f t="shared" si="247"/>
        <v>Twitter for iPhone</v>
      </c>
      <c r="L788" s="13">
        <v>2198</v>
      </c>
      <c r="M788" s="13">
        <v>2829</v>
      </c>
      <c r="N788" s="13">
        <v>32</v>
      </c>
      <c r="O788" s="15"/>
      <c r="P788" s="6">
        <v>40661.015798611115</v>
      </c>
      <c r="Q788" s="16" t="s">
        <v>2246</v>
      </c>
      <c r="R788" s="17" t="s">
        <v>2247</v>
      </c>
      <c r="S788" s="12"/>
      <c r="T788" s="12"/>
      <c r="U788" s="10" t="str">
        <f>HYPERLINK("https://pbs.twimg.com/profile_images/1051485436210794496/wxF7GSqc.jpg","View")</f>
        <v>View</v>
      </c>
    </row>
    <row r="789" spans="1:21" ht="51">
      <c r="A789" s="6">
        <v>43421.738750000004</v>
      </c>
      <c r="B789" s="7" t="str">
        <f>HYPERLINK("https://twitter.com/VOX_Jaen","@VOX_Jaen")</f>
        <v>@VOX_Jaen</v>
      </c>
      <c r="C789" s="8" t="s">
        <v>1778</v>
      </c>
      <c r="D789" s="9" t="s">
        <v>2730</v>
      </c>
      <c r="E789" s="10" t="str">
        <f>HYPERLINK("https://twitter.com/VOX_Jaen/status/1063835104571809792","1063835104571809792")</f>
        <v>1063835104571809792</v>
      </c>
      <c r="F789" s="12"/>
      <c r="G789" s="11" t="s">
        <v>2731</v>
      </c>
      <c r="H789" s="12"/>
      <c r="I789" s="13">
        <v>108</v>
      </c>
      <c r="J789" s="13">
        <v>305</v>
      </c>
      <c r="K789" s="14" t="str">
        <f t="shared" ref="K789:K790" si="248">HYPERLINK("http://twitter.com/download/android","Twitter for Android")</f>
        <v>Twitter for Android</v>
      </c>
      <c r="L789" s="13">
        <v>3824</v>
      </c>
      <c r="M789" s="13">
        <v>1516</v>
      </c>
      <c r="N789" s="13">
        <v>21</v>
      </c>
      <c r="O789" s="15"/>
      <c r="P789" s="6">
        <v>41707.006273148145</v>
      </c>
      <c r="Q789" s="16" t="s">
        <v>1786</v>
      </c>
      <c r="R789" s="17" t="s">
        <v>1787</v>
      </c>
      <c r="S789" s="11" t="s">
        <v>1788</v>
      </c>
      <c r="T789" s="12"/>
      <c r="U789" s="10" t="str">
        <f>HYPERLINK("https://pbs.twimg.com/profile_images/985148305771515904/wwksIq1f.jpg","View")</f>
        <v>View</v>
      </c>
    </row>
    <row r="790" spans="1:21" ht="81.599999999999994">
      <c r="A790" s="6">
        <v>43421.7341087963</v>
      </c>
      <c r="B790" s="7" t="str">
        <f>HYPERLINK("https://twitter.com/Bricenanto","@Bricenanto")</f>
        <v>@Bricenanto</v>
      </c>
      <c r="C790" s="8" t="s">
        <v>2732</v>
      </c>
      <c r="D790" s="9" t="s">
        <v>2733</v>
      </c>
      <c r="E790" s="10" t="str">
        <f>HYPERLINK("https://twitter.com/Bricenanto/status/1063833422517411840","1063833422517411840")</f>
        <v>1063833422517411840</v>
      </c>
      <c r="F790" s="11" t="s">
        <v>2425</v>
      </c>
      <c r="G790" s="11" t="s">
        <v>2321</v>
      </c>
      <c r="H790" s="12"/>
      <c r="I790" s="13">
        <v>0</v>
      </c>
      <c r="J790" s="13">
        <v>0</v>
      </c>
      <c r="K790" s="14" t="str">
        <f t="shared" si="248"/>
        <v>Twitter for Android</v>
      </c>
      <c r="L790" s="13">
        <v>394</v>
      </c>
      <c r="M790" s="13">
        <v>1037</v>
      </c>
      <c r="N790" s="13">
        <v>7</v>
      </c>
      <c r="O790" s="15"/>
      <c r="P790" s="6">
        <v>41877.510949074072</v>
      </c>
      <c r="Q790" s="16" t="s">
        <v>2423</v>
      </c>
      <c r="R790" s="17" t="s">
        <v>2738</v>
      </c>
      <c r="S790" s="12"/>
      <c r="T790" s="12"/>
      <c r="U790" s="10" t="str">
        <f>HYPERLINK("https://pbs.twimg.com/profile_images/1057512620591378433/nIyL3Voh.jpg","View")</f>
        <v>View</v>
      </c>
    </row>
    <row r="791" spans="1:21" ht="51">
      <c r="A791" s="6">
        <v>43421.730069444442</v>
      </c>
      <c r="B791" s="7" t="str">
        <f>HYPERLINK("https://twitter.com/Javiertejedor65","@Javiertejedor65")</f>
        <v>@Javiertejedor65</v>
      </c>
      <c r="C791" s="8" t="s">
        <v>2739</v>
      </c>
      <c r="D791" s="9" t="s">
        <v>2740</v>
      </c>
      <c r="E791" s="10" t="str">
        <f>HYPERLINK("https://twitter.com/Javiertejedor65/status/1063831957363204097","1063831957363204097")</f>
        <v>1063831957363204097</v>
      </c>
      <c r="F791" s="12"/>
      <c r="G791" s="12"/>
      <c r="H791" s="12"/>
      <c r="I791" s="13">
        <v>1</v>
      </c>
      <c r="J791" s="13">
        <v>1</v>
      </c>
      <c r="K791" s="14" t="str">
        <f>HYPERLINK("http://twitter.com/download/iphone","Twitter for iPhone")</f>
        <v>Twitter for iPhone</v>
      </c>
      <c r="L791" s="13">
        <v>146</v>
      </c>
      <c r="M791" s="13">
        <v>55</v>
      </c>
      <c r="N791" s="13">
        <v>2</v>
      </c>
      <c r="O791" s="15"/>
      <c r="P791" s="6">
        <v>43036.996527777781</v>
      </c>
      <c r="Q791" s="12"/>
      <c r="R791" s="17" t="s">
        <v>2741</v>
      </c>
      <c r="S791" s="12"/>
      <c r="T791" s="12"/>
      <c r="U791" s="10" t="str">
        <f>HYPERLINK("https://pbs.twimg.com/profile_images/924396911863435265/fYcD34zK.jpg","View")</f>
        <v>View</v>
      </c>
    </row>
    <row r="792" spans="1:21" ht="30.6">
      <c r="A792" s="6">
        <v>43421.727060185185</v>
      </c>
      <c r="B792" s="7" t="str">
        <f>HYPERLINK("https://twitter.com/sandroine","@sandroine")</f>
        <v>@sandroine</v>
      </c>
      <c r="C792" s="8" t="s">
        <v>3286</v>
      </c>
      <c r="D792" s="9" t="s">
        <v>3287</v>
      </c>
      <c r="E792" s="10" t="str">
        <f>HYPERLINK("https://twitter.com/sandroine/status/1063830867645292549","1063830867645292549")</f>
        <v>1063830867645292549</v>
      </c>
      <c r="F792" s="12"/>
      <c r="G792" s="12"/>
      <c r="H792" s="12"/>
      <c r="I792" s="13">
        <v>5</v>
      </c>
      <c r="J792" s="13">
        <v>20</v>
      </c>
      <c r="K792" s="14" t="str">
        <f>HYPERLINK("http://twitter.com/download/android","Twitter for Android")</f>
        <v>Twitter for Android</v>
      </c>
      <c r="L792" s="13">
        <v>592</v>
      </c>
      <c r="M792" s="13">
        <v>97</v>
      </c>
      <c r="N792" s="13">
        <v>11</v>
      </c>
      <c r="O792" s="15"/>
      <c r="P792" s="6">
        <v>43063.849803240737</v>
      </c>
      <c r="Q792" s="12"/>
      <c r="R792" s="17" t="s">
        <v>3291</v>
      </c>
      <c r="S792" s="11" t="s">
        <v>3292</v>
      </c>
      <c r="T792" s="12"/>
      <c r="U792" s="10" t="str">
        <f>HYPERLINK("https://pbs.twimg.com/profile_images/1063559665068503045/ihF9cAu1.jpg","View")</f>
        <v>View</v>
      </c>
    </row>
    <row r="793" spans="1:21" ht="40.799999999999997">
      <c r="A793" s="6">
        <v>43421.72583333333</v>
      </c>
      <c r="B793" s="7" t="str">
        <f>HYPERLINK("https://twitter.com/sosciudadanos","@sosciudadanos")</f>
        <v>@sosciudadanos</v>
      </c>
      <c r="C793" s="8" t="s">
        <v>1770</v>
      </c>
      <c r="D793" s="9" t="s">
        <v>2744</v>
      </c>
      <c r="E793" s="10" t="str">
        <f>HYPERLINK("https://twitter.com/sosciudadanos/status/1063830424248565760","1063830424248565760")</f>
        <v>1063830424248565760</v>
      </c>
      <c r="F793" s="12"/>
      <c r="G793" s="11" t="s">
        <v>2746</v>
      </c>
      <c r="H793" s="12"/>
      <c r="I793" s="13">
        <v>0</v>
      </c>
      <c r="J793" s="13">
        <v>0</v>
      </c>
      <c r="K793" s="14" t="str">
        <f>HYPERLINK("http://tapbots.com/tweetbot","Tweetbot for iΟS")</f>
        <v>Tweetbot for iΟS</v>
      </c>
      <c r="L793" s="13">
        <v>246</v>
      </c>
      <c r="M793" s="13">
        <v>239</v>
      </c>
      <c r="N793" s="13">
        <v>0</v>
      </c>
      <c r="O793" s="15"/>
      <c r="P793" s="6">
        <v>40502.868402777778</v>
      </c>
      <c r="Q793" s="12"/>
      <c r="R793" s="17" t="s">
        <v>1775</v>
      </c>
      <c r="S793" s="12"/>
      <c r="T793" s="12"/>
      <c r="U793" s="10" t="str">
        <f>HYPERLINK("https://pbs.twimg.com/profile_images/1365930752/Fotolia_21253940_S.jpg","View")</f>
        <v>View</v>
      </c>
    </row>
    <row r="794" spans="1:21" ht="51">
      <c r="A794" s="6">
        <v>43421.718912037039</v>
      </c>
      <c r="B794" s="7" t="str">
        <f>HYPERLINK("https://twitter.com/pakit07","@pakit07")</f>
        <v>@pakit07</v>
      </c>
      <c r="C794" s="8" t="s">
        <v>3299</v>
      </c>
      <c r="D794" s="9" t="s">
        <v>3300</v>
      </c>
      <c r="E794" s="10" t="str">
        <f>HYPERLINK("https://twitter.com/pakit07/status/1063827914213466112","1063827914213466112")</f>
        <v>1063827914213466112</v>
      </c>
      <c r="F794" s="16" t="s">
        <v>1065</v>
      </c>
      <c r="G794" s="11" t="s">
        <v>1067</v>
      </c>
      <c r="H794" s="12"/>
      <c r="I794" s="13">
        <v>0</v>
      </c>
      <c r="J794" s="13">
        <v>0</v>
      </c>
      <c r="K794" s="14" t="str">
        <f t="shared" ref="K794:K795" si="249">HYPERLINK("http://twitter.com/download/android","Twitter for Android")</f>
        <v>Twitter for Android</v>
      </c>
      <c r="L794" s="13">
        <v>578</v>
      </c>
      <c r="M794" s="13">
        <v>277</v>
      </c>
      <c r="N794" s="13">
        <v>10</v>
      </c>
      <c r="O794" s="15"/>
      <c r="P794" s="6">
        <v>40494.726331018523</v>
      </c>
      <c r="Q794" s="16" t="s">
        <v>1483</v>
      </c>
      <c r="R794" s="17" t="s">
        <v>3303</v>
      </c>
      <c r="S794" s="12"/>
      <c r="T794" s="12"/>
      <c r="U794" s="10" t="str">
        <f>HYPERLINK("https://pbs.twimg.com/profile_images/1059111649867640833/vabmfzV2.jpg","View")</f>
        <v>View</v>
      </c>
    </row>
    <row r="795" spans="1:21" ht="51">
      <c r="A795" s="6">
        <v>43421.713946759264</v>
      </c>
      <c r="B795" s="7" t="str">
        <f>HYPERLINK("https://twitter.com/Vox_Antequera","@Vox_Antequera")</f>
        <v>@Vox_Antequera</v>
      </c>
      <c r="C795" s="8" t="s">
        <v>2751</v>
      </c>
      <c r="D795" s="9" t="s">
        <v>2752</v>
      </c>
      <c r="E795" s="10" t="str">
        <f>HYPERLINK("https://twitter.com/Vox_Antequera/status/1063826113607147520","1063826113607147520")</f>
        <v>1063826113607147520</v>
      </c>
      <c r="F795" s="12"/>
      <c r="G795" s="11" t="s">
        <v>2753</v>
      </c>
      <c r="H795" s="12"/>
      <c r="I795" s="13">
        <v>34</v>
      </c>
      <c r="J795" s="13">
        <v>46</v>
      </c>
      <c r="K795" s="14" t="str">
        <f t="shared" si="249"/>
        <v>Twitter for Android</v>
      </c>
      <c r="L795" s="13">
        <v>845</v>
      </c>
      <c r="M795" s="13">
        <v>874</v>
      </c>
      <c r="N795" s="13">
        <v>3</v>
      </c>
      <c r="O795" s="15"/>
      <c r="P795" s="6">
        <v>42980.572222222225</v>
      </c>
      <c r="Q795" s="16" t="s">
        <v>2754</v>
      </c>
      <c r="R795" s="17" t="s">
        <v>2755</v>
      </c>
      <c r="S795" s="11" t="s">
        <v>187</v>
      </c>
      <c r="T795" s="12"/>
      <c r="U795" s="10" t="str">
        <f>HYPERLINK("https://pbs.twimg.com/profile_images/1055358681993359360/RPsDv0c5.jpg","View")</f>
        <v>View</v>
      </c>
    </row>
    <row r="796" spans="1:21" ht="81.599999999999994">
      <c r="A796" s="6">
        <v>43421.712916666671</v>
      </c>
      <c r="B796" s="7" t="str">
        <f>HYPERLINK("https://twitter.com/sosciudadanos","@sosciudadanos")</f>
        <v>@sosciudadanos</v>
      </c>
      <c r="C796" s="8" t="s">
        <v>1770</v>
      </c>
      <c r="D796" s="9" t="s">
        <v>2756</v>
      </c>
      <c r="E796" s="10" t="str">
        <f>HYPERLINK("https://twitter.com/sosciudadanos/status/1063825741064925191","1063825741064925191")</f>
        <v>1063825741064925191</v>
      </c>
      <c r="F796" s="16" t="s">
        <v>2757</v>
      </c>
      <c r="G796" s="12"/>
      <c r="H796" s="12"/>
      <c r="I796" s="13">
        <v>1</v>
      </c>
      <c r="J796" s="13">
        <v>1</v>
      </c>
      <c r="K796" s="14" t="str">
        <f>HYPERLINK("http://tapbots.com/tweetbot","Tweetbot for iΟS")</f>
        <v>Tweetbot for iΟS</v>
      </c>
      <c r="L796" s="13">
        <v>246</v>
      </c>
      <c r="M796" s="13">
        <v>239</v>
      </c>
      <c r="N796" s="13">
        <v>0</v>
      </c>
      <c r="O796" s="15"/>
      <c r="P796" s="6">
        <v>40502.868402777778</v>
      </c>
      <c r="Q796" s="12"/>
      <c r="R796" s="17" t="s">
        <v>1775</v>
      </c>
      <c r="S796" s="12"/>
      <c r="T796" s="12"/>
      <c r="U796" s="10" t="str">
        <f>HYPERLINK("https://pbs.twimg.com/profile_images/1365930752/Fotolia_21253940_S.jpg","View")</f>
        <v>View</v>
      </c>
    </row>
    <row r="797" spans="1:21" ht="61.2">
      <c r="A797" s="6">
        <v>43421.712002314816</v>
      </c>
      <c r="B797" s="7" t="str">
        <f>HYPERLINK("https://twitter.com/MariaTabarnia","@MariaTabarnia")</f>
        <v>@MariaTabarnia</v>
      </c>
      <c r="C797" s="8" t="s">
        <v>2758</v>
      </c>
      <c r="D797" s="9" t="s">
        <v>2759</v>
      </c>
      <c r="E797" s="10" t="str">
        <f>HYPERLINK("https://twitter.com/MariaTabarnia/status/1063825412395024384","1063825412395024384")</f>
        <v>1063825412395024384</v>
      </c>
      <c r="F797" s="11" t="s">
        <v>2760</v>
      </c>
      <c r="G797" s="11" t="s">
        <v>2761</v>
      </c>
      <c r="H797" s="12"/>
      <c r="I797" s="13">
        <v>5</v>
      </c>
      <c r="J797" s="13">
        <v>9</v>
      </c>
      <c r="K797" s="14" t="str">
        <f>HYPERLINK("http://twitter.com/#!/download/ipad","Twitter for iPad")</f>
        <v>Twitter for iPad</v>
      </c>
      <c r="L797" s="13">
        <v>11497</v>
      </c>
      <c r="M797" s="13">
        <v>12426</v>
      </c>
      <c r="N797" s="13">
        <v>52</v>
      </c>
      <c r="O797" s="15"/>
      <c r="P797" s="6">
        <v>41424.855567129627</v>
      </c>
      <c r="Q797" s="16" t="s">
        <v>2762</v>
      </c>
      <c r="R797" s="17" t="s">
        <v>2763</v>
      </c>
      <c r="S797" s="12"/>
      <c r="T797" s="12"/>
      <c r="U797" s="10" t="str">
        <f>HYPERLINK("https://pbs.twimg.com/profile_images/906661884199391232/L9xcUYsf.jpg","View")</f>
        <v>View</v>
      </c>
    </row>
    <row r="798" spans="1:21" ht="40.799999999999997">
      <c r="A798" s="6">
        <v>43421.703692129631</v>
      </c>
      <c r="B798" s="7" t="str">
        <f>HYPERLINK("https://twitter.com/Gonzalo6910","@Gonzalo6910")</f>
        <v>@Gonzalo6910</v>
      </c>
      <c r="C798" s="8" t="s">
        <v>2642</v>
      </c>
      <c r="D798" s="9" t="s">
        <v>2764</v>
      </c>
      <c r="E798" s="10" t="str">
        <f>HYPERLINK("https://twitter.com/Gonzalo6910/status/1063822397697130497","1063822397697130497")</f>
        <v>1063822397697130497</v>
      </c>
      <c r="F798" s="11" t="s">
        <v>2765</v>
      </c>
      <c r="G798" s="11" t="s">
        <v>2766</v>
      </c>
      <c r="H798" s="12"/>
      <c r="I798" s="13">
        <v>1</v>
      </c>
      <c r="J798" s="13">
        <v>1</v>
      </c>
      <c r="K798" s="14" t="str">
        <f t="shared" ref="K798:K801" si="250">HYPERLINK("http://twitter.com/download/android","Twitter for Android")</f>
        <v>Twitter for Android</v>
      </c>
      <c r="L798" s="13">
        <v>312</v>
      </c>
      <c r="M798" s="13">
        <v>791</v>
      </c>
      <c r="N798" s="13">
        <v>1</v>
      </c>
      <c r="O798" s="15"/>
      <c r="P798" s="6">
        <v>43332.05678240741</v>
      </c>
      <c r="Q798" s="16" t="s">
        <v>66</v>
      </c>
      <c r="R798" s="17" t="s">
        <v>2645</v>
      </c>
      <c r="S798" s="12"/>
      <c r="T798" s="12"/>
      <c r="U798" s="10" t="str">
        <f>HYPERLINK("https://pbs.twimg.com/profile_images/1031323124866969606/pfGzbjK0.jpg","View")</f>
        <v>View</v>
      </c>
    </row>
    <row r="799" spans="1:21" ht="40.799999999999997">
      <c r="A799" s="6">
        <v>43421.699814814812</v>
      </c>
      <c r="B799" s="7" t="str">
        <f>HYPERLINK("https://twitter.com/Gata1_C","@Gata1_C")</f>
        <v>@Gata1_C</v>
      </c>
      <c r="C799" s="8" t="s">
        <v>2767</v>
      </c>
      <c r="D799" s="9" t="s">
        <v>2768</v>
      </c>
      <c r="E799" s="10" t="str">
        <f>HYPERLINK("https://twitter.com/Gata1_C/status/1063820995105120256","1063820995105120256")</f>
        <v>1063820995105120256</v>
      </c>
      <c r="F799" s="11" t="s">
        <v>2769</v>
      </c>
      <c r="G799" s="12"/>
      <c r="H799" s="12"/>
      <c r="I799" s="13">
        <v>2</v>
      </c>
      <c r="J799" s="13">
        <v>3</v>
      </c>
      <c r="K799" s="14" t="str">
        <f t="shared" si="250"/>
        <v>Twitter for Android</v>
      </c>
      <c r="L799" s="13">
        <v>3715</v>
      </c>
      <c r="M799" s="13">
        <v>5002</v>
      </c>
      <c r="N799" s="13">
        <v>8</v>
      </c>
      <c r="O799" s="15"/>
      <c r="P799" s="6">
        <v>41393.042939814812</v>
      </c>
      <c r="Q799" s="16" t="s">
        <v>66</v>
      </c>
      <c r="R799" s="17" t="s">
        <v>2770</v>
      </c>
      <c r="S799" s="12"/>
      <c r="T799" s="12"/>
      <c r="U799" s="10" t="str">
        <f>HYPERLINK("https://pbs.twimg.com/profile_images/1064357848287715333/GYr5W4W2.jpg","View")</f>
        <v>View</v>
      </c>
    </row>
    <row r="800" spans="1:21" ht="40.799999999999997">
      <c r="A800" s="6">
        <v>43421.697719907403</v>
      </c>
      <c r="B800" s="7" t="str">
        <f>HYPERLINK("https://twitter.com/13AFRM","@13AFRM")</f>
        <v>@13AFRM</v>
      </c>
      <c r="C800" s="8" t="s">
        <v>2771</v>
      </c>
      <c r="D800" s="9" t="s">
        <v>2772</v>
      </c>
      <c r="E800" s="10" t="str">
        <f>HYPERLINK("https://twitter.com/13AFRM/status/1063820233339744256","1063820233339744256")</f>
        <v>1063820233339744256</v>
      </c>
      <c r="F800" s="12"/>
      <c r="G800" s="12"/>
      <c r="H800" s="12"/>
      <c r="I800" s="13">
        <v>0</v>
      </c>
      <c r="J800" s="13">
        <v>0</v>
      </c>
      <c r="K800" s="14" t="str">
        <f t="shared" si="250"/>
        <v>Twitter for Android</v>
      </c>
      <c r="L800" s="13">
        <v>431</v>
      </c>
      <c r="M800" s="13">
        <v>979</v>
      </c>
      <c r="N800" s="13">
        <v>3</v>
      </c>
      <c r="O800" s="15"/>
      <c r="P800" s="6">
        <v>40873.663958333331</v>
      </c>
      <c r="Q800" s="12"/>
      <c r="R800" s="17" t="s">
        <v>2773</v>
      </c>
      <c r="S800" s="12"/>
      <c r="T800" s="12"/>
      <c r="U800" s="10" t="str">
        <f>HYPERLINK("https://pbs.twimg.com/profile_images/472039705778061313/4u_zxW2z.jpeg","View")</f>
        <v>View</v>
      </c>
    </row>
    <row r="801" spans="1:21" ht="51">
      <c r="A801" s="6">
        <v>43421.697222222225</v>
      </c>
      <c r="B801" s="7" t="str">
        <f>HYPERLINK("https://twitter.com/vox_prensa","@vox_prensa")</f>
        <v>@vox_prensa</v>
      </c>
      <c r="C801" s="8" t="s">
        <v>2774</v>
      </c>
      <c r="D801" s="9" t="s">
        <v>2775</v>
      </c>
      <c r="E801" s="10" t="str">
        <f>HYPERLINK("https://twitter.com/vox_prensa/status/1063820055320952833","1063820055320952833")</f>
        <v>1063820055320952833</v>
      </c>
      <c r="F801" s="12"/>
      <c r="G801" s="11" t="s">
        <v>2777</v>
      </c>
      <c r="H801" s="12"/>
      <c r="I801" s="13">
        <v>2</v>
      </c>
      <c r="J801" s="13">
        <v>3</v>
      </c>
      <c r="K801" s="14" t="str">
        <f t="shared" si="250"/>
        <v>Twitter for Android</v>
      </c>
      <c r="L801" s="13">
        <v>256</v>
      </c>
      <c r="M801" s="13">
        <v>600</v>
      </c>
      <c r="N801" s="13">
        <v>3</v>
      </c>
      <c r="O801" s="15"/>
      <c r="P801" s="6">
        <v>43321.65797453704</v>
      </c>
      <c r="Q801" s="16" t="s">
        <v>2778</v>
      </c>
      <c r="R801" s="17" t="s">
        <v>2779</v>
      </c>
      <c r="S801" s="11" t="s">
        <v>2045</v>
      </c>
      <c r="T801" s="12"/>
      <c r="U801" s="10" t="str">
        <f>HYPERLINK("https://pbs.twimg.com/profile_images/1032973810402775041/By_fnKG9.jpg","View")</f>
        <v>View</v>
      </c>
    </row>
    <row r="802" spans="1:21" ht="40.799999999999997">
      <c r="A802" s="6">
        <v>43421.694212962961</v>
      </c>
      <c r="B802" s="7" t="str">
        <f>HYPERLINK("https://twitter.com/Jrmgonzalez","@Jrmgonzalez")</f>
        <v>@Jrmgonzalez</v>
      </c>
      <c r="C802" s="8" t="s">
        <v>308</v>
      </c>
      <c r="D802" s="9" t="s">
        <v>2781</v>
      </c>
      <c r="E802" s="10" t="str">
        <f>HYPERLINK("https://twitter.com/Jrmgonzalez/status/1063818963681976321","1063818963681976321")</f>
        <v>1063818963681976321</v>
      </c>
      <c r="F802" s="12"/>
      <c r="G802" s="11" t="s">
        <v>2782</v>
      </c>
      <c r="H802" s="12"/>
      <c r="I802" s="13">
        <v>1</v>
      </c>
      <c r="J802" s="13">
        <v>2</v>
      </c>
      <c r="K802" s="14" t="str">
        <f>HYPERLINK("http://twitter.com/download/iphone","Twitter for iPhone")</f>
        <v>Twitter for iPhone</v>
      </c>
      <c r="L802" s="13">
        <v>32</v>
      </c>
      <c r="M802" s="13">
        <v>265</v>
      </c>
      <c r="N802" s="13">
        <v>2</v>
      </c>
      <c r="O802" s="15"/>
      <c r="P802" s="6">
        <v>41696.563379629632</v>
      </c>
      <c r="Q802" s="16" t="s">
        <v>312</v>
      </c>
      <c r="R802" s="17" t="s">
        <v>313</v>
      </c>
      <c r="S802" s="12"/>
      <c r="T802" s="12"/>
      <c r="U802" s="10" t="str">
        <f>HYPERLINK("https://pbs.twimg.com/profile_images/951188977960222721/P3ZmIVlt.jpg","View")</f>
        <v>View</v>
      </c>
    </row>
    <row r="803" spans="1:21" ht="40.799999999999997">
      <c r="A803" s="6">
        <v>43421.69263888889</v>
      </c>
      <c r="B803" s="7" t="str">
        <f>HYPERLINK("https://twitter.com/profesorjaen","@profesorjaen")</f>
        <v>@profesorjaen</v>
      </c>
      <c r="C803" s="8" t="s">
        <v>2688</v>
      </c>
      <c r="D803" s="9" t="s">
        <v>2783</v>
      </c>
      <c r="E803" s="10" t="str">
        <f>HYPERLINK("https://twitter.com/profesorjaen/status/1063818392019353600","1063818392019353600")</f>
        <v>1063818392019353600</v>
      </c>
      <c r="F803" s="12"/>
      <c r="G803" s="11" t="s">
        <v>2784</v>
      </c>
      <c r="H803" s="12"/>
      <c r="I803" s="13">
        <v>1</v>
      </c>
      <c r="J803" s="13">
        <v>3</v>
      </c>
      <c r="K803" s="14" t="str">
        <f t="shared" ref="K803:K805" si="251">HYPERLINK("http://twitter.com/download/android","Twitter for Android")</f>
        <v>Twitter for Android</v>
      </c>
      <c r="L803" s="13">
        <v>6310</v>
      </c>
      <c r="M803" s="13">
        <v>210</v>
      </c>
      <c r="N803" s="13">
        <v>118</v>
      </c>
      <c r="O803" s="15"/>
      <c r="P803" s="6">
        <v>40844.911736111113</v>
      </c>
      <c r="Q803" s="16" t="s">
        <v>66</v>
      </c>
      <c r="R803" s="17" t="s">
        <v>2691</v>
      </c>
      <c r="S803" s="11" t="s">
        <v>2692</v>
      </c>
      <c r="T803" s="12"/>
      <c r="U803" s="10" t="str">
        <f>HYPERLINK("https://pbs.twimg.com/profile_images/914109676748509184/ubpWdGIE.jpg","View")</f>
        <v>View</v>
      </c>
    </row>
    <row r="804" spans="1:21" ht="30.6">
      <c r="A804" s="6">
        <v>43421.691145833334</v>
      </c>
      <c r="B804" s="7" t="str">
        <f>HYPERLINK("https://twitter.com/Santi_ABASCAL","@Santi_ABASCAL")</f>
        <v>@Santi_ABASCAL</v>
      </c>
      <c r="C804" s="8" t="s">
        <v>182</v>
      </c>
      <c r="D804" s="9" t="s">
        <v>3331</v>
      </c>
      <c r="E804" s="10" t="str">
        <f>HYPERLINK("https://twitter.com/Santi_ABASCAL/status/1063817852459847680","1063817852459847680")</f>
        <v>1063817852459847680</v>
      </c>
      <c r="F804" s="12"/>
      <c r="G804" s="11" t="s">
        <v>2321</v>
      </c>
      <c r="H804" s="12"/>
      <c r="I804" s="13">
        <v>2364</v>
      </c>
      <c r="J804" s="13">
        <v>5191</v>
      </c>
      <c r="K804" s="14" t="str">
        <f t="shared" si="251"/>
        <v>Twitter for Android</v>
      </c>
      <c r="L804" s="13">
        <v>117602</v>
      </c>
      <c r="M804" s="13">
        <v>3896</v>
      </c>
      <c r="N804" s="13">
        <v>915</v>
      </c>
      <c r="O804" s="23" t="s">
        <v>186</v>
      </c>
      <c r="P804" s="6">
        <v>40606.716446759259</v>
      </c>
      <c r="Q804" s="16" t="s">
        <v>188</v>
      </c>
      <c r="R804" s="17" t="s">
        <v>189</v>
      </c>
      <c r="S804" s="11" t="s">
        <v>190</v>
      </c>
      <c r="T804" s="12"/>
      <c r="U804" s="10" t="str">
        <f>HYPERLINK("https://pbs.twimg.com/profile_images/1010488787686879232/2CnqYKlD.jpg","View")</f>
        <v>View</v>
      </c>
    </row>
    <row r="805" spans="1:21" ht="40.799999999999997">
      <c r="A805" s="6">
        <v>43421.690868055557</v>
      </c>
      <c r="B805" s="7" t="str">
        <f>HYPERLINK("https://twitter.com/AlbertoSBlanco","@AlbertoSBlanco")</f>
        <v>@AlbertoSBlanco</v>
      </c>
      <c r="C805" s="8" t="s">
        <v>2386</v>
      </c>
      <c r="D805" s="9" t="s">
        <v>2785</v>
      </c>
      <c r="E805" s="10" t="str">
        <f>HYPERLINK("https://twitter.com/AlbertoSBlanco/status/1063817750961901568","1063817750961901568")</f>
        <v>1063817750961901568</v>
      </c>
      <c r="F805" s="11" t="s">
        <v>1994</v>
      </c>
      <c r="G805" s="12"/>
      <c r="H805" s="12"/>
      <c r="I805" s="13">
        <v>2</v>
      </c>
      <c r="J805" s="13">
        <v>1</v>
      </c>
      <c r="K805" s="14" t="str">
        <f t="shared" si="251"/>
        <v>Twitter for Android</v>
      </c>
      <c r="L805" s="13">
        <v>2675</v>
      </c>
      <c r="M805" s="13">
        <v>3144</v>
      </c>
      <c r="N805" s="13">
        <v>32</v>
      </c>
      <c r="O805" s="15"/>
      <c r="P805" s="6">
        <v>40747.720636574071</v>
      </c>
      <c r="Q805" s="12"/>
      <c r="R805" s="17" t="s">
        <v>2391</v>
      </c>
      <c r="S805" s="11" t="s">
        <v>2392</v>
      </c>
      <c r="T805" s="12"/>
      <c r="U805" s="10" t="str">
        <f>HYPERLINK("https://pbs.twimg.com/profile_images/966330983829135360/yRqQ0NN1.jpg","View")</f>
        <v>View</v>
      </c>
    </row>
    <row r="806" spans="1:21" ht="51">
      <c r="A806" s="6">
        <v>43421.68886574074</v>
      </c>
      <c r="B806" s="7" t="str">
        <f>HYPERLINK("https://twitter.com/DiarioSUR","@DiarioSUR")</f>
        <v>@DiarioSUR</v>
      </c>
      <c r="C806" s="8" t="s">
        <v>2788</v>
      </c>
      <c r="D806" s="9" t="s">
        <v>2789</v>
      </c>
      <c r="E806" s="10" t="str">
        <f>HYPERLINK("https://twitter.com/DiarioSUR/status/1063817025968058369","1063817025968058369")</f>
        <v>1063817025968058369</v>
      </c>
      <c r="F806" s="11" t="s">
        <v>2790</v>
      </c>
      <c r="G806" s="12"/>
      <c r="H806" s="12"/>
      <c r="I806" s="13">
        <v>108</v>
      </c>
      <c r="J806" s="13">
        <v>174</v>
      </c>
      <c r="K806" s="14" t="str">
        <f>HYPERLINK("https://about.twitter.com/products/tweetdeck","TweetDeck")</f>
        <v>TweetDeck</v>
      </c>
      <c r="L806" s="13">
        <v>251799</v>
      </c>
      <c r="M806" s="13">
        <v>6674</v>
      </c>
      <c r="N806" s="13">
        <v>2055</v>
      </c>
      <c r="O806" s="23" t="s">
        <v>186</v>
      </c>
      <c r="P806" s="6">
        <v>39853.755590277782</v>
      </c>
      <c r="Q806" s="16" t="s">
        <v>1162</v>
      </c>
      <c r="R806" s="17" t="s">
        <v>2791</v>
      </c>
      <c r="S806" s="11" t="s">
        <v>2792</v>
      </c>
      <c r="T806" s="12"/>
      <c r="U806" s="10" t="str">
        <f>HYPERLINK("https://pbs.twimg.com/profile_images/1053438993063387139/BYHkFJEe.jpg","View")</f>
        <v>View</v>
      </c>
    </row>
    <row r="807" spans="1:21" ht="61.2">
      <c r="A807" s="6">
        <v>43421.682847222226</v>
      </c>
      <c r="B807" s="7" t="str">
        <f>HYPERLINK("https://twitter.com/Santi_ABASCAL","@Santi_ABASCAL")</f>
        <v>@Santi_ABASCAL</v>
      </c>
      <c r="C807" s="8" t="s">
        <v>182</v>
      </c>
      <c r="D807" s="9" t="s">
        <v>3347</v>
      </c>
      <c r="E807" s="10" t="str">
        <f>HYPERLINK("https://twitter.com/Santi_ABASCAL/status/1063814846821601281","1063814846821601281")</f>
        <v>1063814846821601281</v>
      </c>
      <c r="F807" s="11" t="s">
        <v>3348</v>
      </c>
      <c r="G807" s="11" t="s">
        <v>3349</v>
      </c>
      <c r="H807" s="12"/>
      <c r="I807" s="13">
        <v>672</v>
      </c>
      <c r="J807" s="13">
        <v>1653</v>
      </c>
      <c r="K807" s="14" t="str">
        <f t="shared" ref="K807:K808" si="252">HYPERLINK("http://twitter.com/download/android","Twitter for Android")</f>
        <v>Twitter for Android</v>
      </c>
      <c r="L807" s="13">
        <v>117602</v>
      </c>
      <c r="M807" s="13">
        <v>3896</v>
      </c>
      <c r="N807" s="13">
        <v>915</v>
      </c>
      <c r="O807" s="23" t="s">
        <v>186</v>
      </c>
      <c r="P807" s="6">
        <v>40606.716446759259</v>
      </c>
      <c r="Q807" s="16" t="s">
        <v>188</v>
      </c>
      <c r="R807" s="17" t="s">
        <v>189</v>
      </c>
      <c r="S807" s="11" t="s">
        <v>190</v>
      </c>
      <c r="T807" s="12"/>
      <c r="U807" s="10" t="str">
        <f>HYPERLINK("https://pbs.twimg.com/profile_images/1010488787686879232/2CnqYKlD.jpg","View")</f>
        <v>View</v>
      </c>
    </row>
    <row r="808" spans="1:21" ht="71.400000000000006">
      <c r="A808" s="6">
        <v>43421.680243055554</v>
      </c>
      <c r="B808" s="7" t="str">
        <f>HYPERLINK("https://twitter.com/marcothefutur","@marcothefutur")</f>
        <v>@marcothefutur</v>
      </c>
      <c r="C808" s="8" t="s">
        <v>2793</v>
      </c>
      <c r="D808" s="9" t="s">
        <v>2794</v>
      </c>
      <c r="E808" s="10" t="str">
        <f>HYPERLINK("https://twitter.com/marcothefutur/status/1063813902453092352","1063813902453092352")</f>
        <v>1063813902453092352</v>
      </c>
      <c r="F808" s="11" t="s">
        <v>2795</v>
      </c>
      <c r="G808" s="11" t="s">
        <v>2796</v>
      </c>
      <c r="H808" s="12"/>
      <c r="I808" s="13">
        <v>0</v>
      </c>
      <c r="J808" s="13">
        <v>0</v>
      </c>
      <c r="K808" s="14" t="str">
        <f t="shared" si="252"/>
        <v>Twitter for Android</v>
      </c>
      <c r="L808" s="13">
        <v>19</v>
      </c>
      <c r="M808" s="13">
        <v>85</v>
      </c>
      <c r="N808" s="13">
        <v>0</v>
      </c>
      <c r="O808" s="15"/>
      <c r="P808" s="6">
        <v>43195.860891203702</v>
      </c>
      <c r="Q808" s="12"/>
      <c r="R808" s="21"/>
      <c r="S808" s="12"/>
      <c r="T808" s="12"/>
      <c r="U808" s="10" t="str">
        <f>HYPERLINK("https://pbs.twimg.com/profile_images/984787991926398977/Zj2Uiu8y.jpg","View")</f>
        <v>View</v>
      </c>
    </row>
    <row r="809" spans="1:21" ht="61.2">
      <c r="A809" s="6">
        <v>43421.678206018521</v>
      </c>
      <c r="B809" s="7" t="str">
        <f>HYPERLINK("https://twitter.com/leonardobecr","@leonardobecr")</f>
        <v>@leonardobecr</v>
      </c>
      <c r="C809" s="8" t="s">
        <v>2797</v>
      </c>
      <c r="D809" s="9" t="s">
        <v>2798</v>
      </c>
      <c r="E809" s="10" t="str">
        <f>HYPERLINK("https://twitter.com/leonardobecr/status/1063813164712759296","1063813164712759296")</f>
        <v>1063813164712759296</v>
      </c>
      <c r="F809" s="11" t="s">
        <v>2800</v>
      </c>
      <c r="G809" s="11" t="s">
        <v>2801</v>
      </c>
      <c r="H809" s="12"/>
      <c r="I809" s="13">
        <v>0</v>
      </c>
      <c r="J809" s="13">
        <v>1</v>
      </c>
      <c r="K809" s="14" t="str">
        <f>HYPERLINK("http://twitter.com/download/iphone","Twitter for iPhone")</f>
        <v>Twitter for iPhone</v>
      </c>
      <c r="L809" s="13">
        <v>2564</v>
      </c>
      <c r="M809" s="13">
        <v>1019</v>
      </c>
      <c r="N809" s="13">
        <v>33</v>
      </c>
      <c r="O809" s="15"/>
      <c r="P809" s="6">
        <v>41564.68608796296</v>
      </c>
      <c r="Q809" s="16" t="s">
        <v>66</v>
      </c>
      <c r="R809" s="17" t="s">
        <v>2804</v>
      </c>
      <c r="S809" s="11" t="s">
        <v>2805</v>
      </c>
      <c r="T809" s="12"/>
      <c r="U809" s="10" t="str">
        <f>HYPERLINK("https://pbs.twimg.com/profile_images/1045908446158233600/oMQL93JS.jpg","View")</f>
        <v>View</v>
      </c>
    </row>
    <row r="810" spans="1:21" ht="30.6">
      <c r="A810" s="6">
        <v>43421.677083333328</v>
      </c>
      <c r="B810" s="7" t="str">
        <f>HYPERLINK("https://twitter.com/COPE","@COPE")</f>
        <v>@COPE</v>
      </c>
      <c r="C810" s="8" t="s">
        <v>2676</v>
      </c>
      <c r="D810" s="9" t="s">
        <v>2806</v>
      </c>
      <c r="E810" s="10" t="str">
        <f>HYPERLINK("https://twitter.com/COPE/status/1063812755071877122","1063812755071877122")</f>
        <v>1063812755071877122</v>
      </c>
      <c r="F810" s="11" t="s">
        <v>2807</v>
      </c>
      <c r="G810" s="12"/>
      <c r="H810" s="12"/>
      <c r="I810" s="13">
        <v>3</v>
      </c>
      <c r="J810" s="13">
        <v>19</v>
      </c>
      <c r="K810" s="14" t="str">
        <f>HYPERLINK("http://dogtrack.es","DogTrack_Oficial")</f>
        <v>DogTrack_Oficial</v>
      </c>
      <c r="L810" s="13">
        <v>352773</v>
      </c>
      <c r="M810" s="13">
        <v>149</v>
      </c>
      <c r="N810" s="13">
        <v>3087</v>
      </c>
      <c r="O810" s="23" t="s">
        <v>186</v>
      </c>
      <c r="P810" s="6">
        <v>39381.538321759261</v>
      </c>
      <c r="Q810" s="16" t="s">
        <v>44</v>
      </c>
      <c r="R810" s="17" t="s">
        <v>2679</v>
      </c>
      <c r="S810" s="11" t="s">
        <v>2680</v>
      </c>
      <c r="T810" s="12"/>
      <c r="U810" s="10" t="str">
        <f>HYPERLINK("https://pbs.twimg.com/profile_images/1063097716031533059/yAe1j-56.jpg","View")</f>
        <v>View</v>
      </c>
    </row>
    <row r="811" spans="1:21" ht="51">
      <c r="A811" s="6">
        <v>43421.675937499997</v>
      </c>
      <c r="B811" s="7" t="str">
        <f>HYPERLINK("https://twitter.com/indpcom","@indpcom")</f>
        <v>@indpcom</v>
      </c>
      <c r="C811" s="8" t="s">
        <v>1753</v>
      </c>
      <c r="D811" s="9" t="s">
        <v>2808</v>
      </c>
      <c r="E811" s="10" t="str">
        <f>HYPERLINK("https://twitter.com/indpcom/status/1063812340351680512","1063812340351680512")</f>
        <v>1063812340351680512</v>
      </c>
      <c r="F811" s="11" t="s">
        <v>2809</v>
      </c>
      <c r="G811" s="12"/>
      <c r="H811" s="12"/>
      <c r="I811" s="13">
        <v>0</v>
      </c>
      <c r="J811" s="13">
        <v>2</v>
      </c>
      <c r="K811" s="14" t="str">
        <f>HYPERLINK("http://twitter.com/download/android","Twitter for Android")</f>
        <v>Twitter for Android</v>
      </c>
      <c r="L811" s="13">
        <v>57680</v>
      </c>
      <c r="M811" s="13">
        <v>1302</v>
      </c>
      <c r="N811" s="13">
        <v>1099</v>
      </c>
      <c r="O811" s="23" t="s">
        <v>186</v>
      </c>
      <c r="P811" s="6">
        <v>42537.702719907407</v>
      </c>
      <c r="Q811" s="16" t="s">
        <v>44</v>
      </c>
      <c r="R811" s="17" t="s">
        <v>1756</v>
      </c>
      <c r="S811" s="11" t="s">
        <v>1757</v>
      </c>
      <c r="T811" s="12"/>
      <c r="U811" s="10" t="str">
        <f>HYPERLINK("https://pbs.twimg.com/profile_images/773807977069420544/o4tNI4zQ.jpg","View")</f>
        <v>View</v>
      </c>
    </row>
    <row r="812" spans="1:21" ht="51">
      <c r="A812" s="6">
        <v>43421.669687500005</v>
      </c>
      <c r="B812" s="7" t="str">
        <f>HYPERLINK("https://twitter.com/elenfurecidoweb","@elenfurecidoweb")</f>
        <v>@elenfurecidoweb</v>
      </c>
      <c r="C812" s="8" t="s">
        <v>2811</v>
      </c>
      <c r="D812" s="9" t="s">
        <v>2812</v>
      </c>
      <c r="E812" s="10" t="str">
        <f>HYPERLINK("https://twitter.com/elenfurecidoweb/status/1063810077180739590","1063810077180739590")</f>
        <v>1063810077180739590</v>
      </c>
      <c r="F812" s="11" t="s">
        <v>2814</v>
      </c>
      <c r="G812" s="12"/>
      <c r="H812" s="12"/>
      <c r="I812" s="13">
        <v>0</v>
      </c>
      <c r="J812" s="13">
        <v>0</v>
      </c>
      <c r="K812" s="14" t="str">
        <f>HYPERLINK("http://twitter.com","Twitter Web Client")</f>
        <v>Twitter Web Client</v>
      </c>
      <c r="L812" s="13">
        <v>134</v>
      </c>
      <c r="M812" s="13">
        <v>140</v>
      </c>
      <c r="N812" s="13">
        <v>0</v>
      </c>
      <c r="O812" s="15"/>
      <c r="P812" s="6">
        <v>43274.724745370375</v>
      </c>
      <c r="Q812" s="16" t="s">
        <v>77</v>
      </c>
      <c r="R812" s="17" t="s">
        <v>2815</v>
      </c>
      <c r="S812" s="11" t="s">
        <v>2816</v>
      </c>
      <c r="T812" s="12"/>
      <c r="U812" s="10" t="str">
        <f>HYPERLINK("https://pbs.twimg.com/profile_images/1056513747068641281/hY8QxMuj.jpg","View")</f>
        <v>View</v>
      </c>
    </row>
    <row r="813" spans="1:21" ht="40.799999999999997">
      <c r="A813" s="6">
        <v>43421.66097222222</v>
      </c>
      <c r="B813" s="7" t="str">
        <f>HYPERLINK("https://twitter.com/AzoteCasta","@AzoteCasta")</f>
        <v>@AzoteCasta</v>
      </c>
      <c r="C813" s="8" t="s">
        <v>117</v>
      </c>
      <c r="D813" s="9" t="s">
        <v>2817</v>
      </c>
      <c r="E813" s="10" t="str">
        <f>HYPERLINK("https://twitter.com/AzoteCasta/status/1063806919989702657","1063806919989702657")</f>
        <v>1063806919989702657</v>
      </c>
      <c r="F813" s="12"/>
      <c r="G813" s="11" t="s">
        <v>2818</v>
      </c>
      <c r="H813" s="12"/>
      <c r="I813" s="13">
        <v>3</v>
      </c>
      <c r="J813" s="13">
        <v>6</v>
      </c>
      <c r="K813" s="14" t="str">
        <f>HYPERLINK("http://twitter.com/download/android","Twitter for Android")</f>
        <v>Twitter for Android</v>
      </c>
      <c r="L813" s="13">
        <v>3638</v>
      </c>
      <c r="M813" s="13">
        <v>2743</v>
      </c>
      <c r="N813" s="13">
        <v>63</v>
      </c>
      <c r="O813" s="15"/>
      <c r="P813" s="6">
        <v>41441.048819444448</v>
      </c>
      <c r="Q813" s="16" t="s">
        <v>66</v>
      </c>
      <c r="R813" s="17" t="s">
        <v>120</v>
      </c>
      <c r="S813" s="12"/>
      <c r="T813" s="12"/>
      <c r="U813" s="10" t="str">
        <f>HYPERLINK("https://pbs.twimg.com/profile_images/1037474236691042309/9t-T1AZv.jpg","View")</f>
        <v>View</v>
      </c>
    </row>
    <row r="814" spans="1:21" ht="102">
      <c r="A814" s="6">
        <v>43421.645925925928</v>
      </c>
      <c r="B814" s="7" t="str">
        <f>HYPERLINK("https://twitter.com/Antonio29407099","@Antonio29407099")</f>
        <v>@Antonio29407099</v>
      </c>
      <c r="C814" s="8" t="s">
        <v>1371</v>
      </c>
      <c r="D814" s="9" t="s">
        <v>3371</v>
      </c>
      <c r="E814" s="10" t="str">
        <f>HYPERLINK("https://twitter.com/Antonio29407099/status/1063801465683226625","1063801465683226625")</f>
        <v>1063801465683226625</v>
      </c>
      <c r="F814" s="11" t="s">
        <v>2603</v>
      </c>
      <c r="G814" s="11" t="s">
        <v>2604</v>
      </c>
      <c r="H814" s="12"/>
      <c r="I814" s="13">
        <v>0</v>
      </c>
      <c r="J814" s="13">
        <v>0</v>
      </c>
      <c r="K814" s="14" t="str">
        <f>HYPERLINK("http://twitter.com","Twitter Web Client")</f>
        <v>Twitter Web Client</v>
      </c>
      <c r="L814" s="13">
        <v>409</v>
      </c>
      <c r="M814" s="13">
        <v>420</v>
      </c>
      <c r="N814" s="13">
        <v>8</v>
      </c>
      <c r="O814" s="15"/>
      <c r="P814" s="6">
        <v>40986.32503472222</v>
      </c>
      <c r="Q814" s="16" t="s">
        <v>1117</v>
      </c>
      <c r="R814" s="17" t="s">
        <v>1372</v>
      </c>
      <c r="S814" s="12"/>
      <c r="T814" s="12"/>
      <c r="U814" s="10" t="str">
        <f>HYPERLINK("https://pbs.twimg.com/profile_images/1065943948890382336/j9ezRSrk.jpg","View")</f>
        <v>View</v>
      </c>
    </row>
    <row r="815" spans="1:21" ht="51">
      <c r="A815" s="6">
        <v>43421.642118055555</v>
      </c>
      <c r="B815" s="7" t="str">
        <f>HYPERLINK("https://twitter.com/MariaTabarnia","@MariaTabarnia")</f>
        <v>@MariaTabarnia</v>
      </c>
      <c r="C815" s="8" t="s">
        <v>2758</v>
      </c>
      <c r="D815" s="9" t="s">
        <v>2819</v>
      </c>
      <c r="E815" s="10" t="str">
        <f>HYPERLINK("https://twitter.com/MariaTabarnia/status/1063800084213743617","1063800084213743617")</f>
        <v>1063800084213743617</v>
      </c>
      <c r="F815" s="12"/>
      <c r="G815" s="11" t="s">
        <v>2820</v>
      </c>
      <c r="H815" s="12"/>
      <c r="I815" s="13">
        <v>289</v>
      </c>
      <c r="J815" s="13">
        <v>366</v>
      </c>
      <c r="K815" s="14" t="str">
        <f>HYPERLINK("http://twitter.com/download/iphone","Twitter for iPhone")</f>
        <v>Twitter for iPhone</v>
      </c>
      <c r="L815" s="13">
        <v>11497</v>
      </c>
      <c r="M815" s="13">
        <v>12426</v>
      </c>
      <c r="N815" s="13">
        <v>52</v>
      </c>
      <c r="O815" s="15"/>
      <c r="P815" s="6">
        <v>41424.855567129627</v>
      </c>
      <c r="Q815" s="16" t="s">
        <v>2762</v>
      </c>
      <c r="R815" s="17" t="s">
        <v>2763</v>
      </c>
      <c r="S815" s="12"/>
      <c r="T815" s="12"/>
      <c r="U815" s="10" t="str">
        <f>HYPERLINK("https://pbs.twimg.com/profile_images/906661884199391232/L9xcUYsf.jpg","View")</f>
        <v>View</v>
      </c>
    </row>
    <row r="816" spans="1:21" ht="20.399999999999999">
      <c r="A816" s="6">
        <v>43421.636134259257</v>
      </c>
      <c r="B816" s="7" t="str">
        <f>HYPERLINK("https://twitter.com/Sr_Gomas","@Sr_Gomas")</f>
        <v>@Sr_Gomas</v>
      </c>
      <c r="C816" s="8" t="s">
        <v>2821</v>
      </c>
      <c r="D816" s="9" t="s">
        <v>2822</v>
      </c>
      <c r="E816" s="10" t="str">
        <f>HYPERLINK("https://twitter.com/Sr_Gomas/status/1063797917352435720","1063797917352435720")</f>
        <v>1063797917352435720</v>
      </c>
      <c r="F816" s="11" t="s">
        <v>2823</v>
      </c>
      <c r="G816" s="12"/>
      <c r="H816" s="12"/>
      <c r="I816" s="13">
        <v>0</v>
      </c>
      <c r="J816" s="13">
        <v>1</v>
      </c>
      <c r="K816" s="14" t="str">
        <f>HYPERLINK("http://twitter.com","Twitter Web Client")</f>
        <v>Twitter Web Client</v>
      </c>
      <c r="L816" s="13">
        <v>1946</v>
      </c>
      <c r="M816" s="13">
        <v>1164</v>
      </c>
      <c r="N816" s="13">
        <v>56</v>
      </c>
      <c r="O816" s="15"/>
      <c r="P816" s="6">
        <v>40917.042407407411</v>
      </c>
      <c r="Q816" s="16" t="s">
        <v>2824</v>
      </c>
      <c r="R816" s="17" t="s">
        <v>2825</v>
      </c>
      <c r="S816" s="12"/>
      <c r="T816" s="12"/>
      <c r="U816" s="10" t="str">
        <f>HYPERLINK("https://pbs.twimg.com/profile_images/503349039643910144/ycnT5xg3.jpeg","View")</f>
        <v>View</v>
      </c>
    </row>
    <row r="817" spans="1:21" ht="30.6">
      <c r="A817" s="6">
        <v>43421.634976851856</v>
      </c>
      <c r="B817" s="7" t="str">
        <f>HYPERLINK("https://twitter.com/JoseManuel_Tini","@JoseManuel_Tini")</f>
        <v>@JoseManuel_Tini</v>
      </c>
      <c r="C817" s="8" t="s">
        <v>2826</v>
      </c>
      <c r="D817" s="9" t="s">
        <v>2827</v>
      </c>
      <c r="E817" s="10" t="str">
        <f>HYPERLINK("https://twitter.com/JoseManuel_Tini/status/1063797499561947136","1063797499561947136")</f>
        <v>1063797499561947136</v>
      </c>
      <c r="F817" s="11" t="s">
        <v>2828</v>
      </c>
      <c r="G817" s="12"/>
      <c r="H817" s="12" t="str">
        <f>HYPERLINK("https://ctrlq.org/maps/address/#36.7167,-4.4237","Map")</f>
        <v>Map</v>
      </c>
      <c r="I817" s="13">
        <v>0</v>
      </c>
      <c r="J817" s="13">
        <v>2</v>
      </c>
      <c r="K817" s="14" t="str">
        <f>HYPERLINK("http://instagram.com","Instagram")</f>
        <v>Instagram</v>
      </c>
      <c r="L817" s="13">
        <v>126</v>
      </c>
      <c r="M817" s="13">
        <v>167</v>
      </c>
      <c r="N817" s="13">
        <v>3</v>
      </c>
      <c r="O817" s="15"/>
      <c r="P817" s="6">
        <v>40970.899722222224</v>
      </c>
      <c r="Q817" s="16" t="s">
        <v>2829</v>
      </c>
      <c r="R817" s="17" t="s">
        <v>2831</v>
      </c>
      <c r="S817" s="12"/>
      <c r="T817" s="12"/>
      <c r="U817" s="10" t="str">
        <f>HYPERLINK("https://pbs.twimg.com/profile_images/1043572360060841984/wKOq4kOD.jpg","View")</f>
        <v>View</v>
      </c>
    </row>
    <row r="818" spans="1:21" ht="40.799999999999997">
      <c r="A818" s="6">
        <v>43421.630694444444</v>
      </c>
      <c r="B818" s="7" t="str">
        <f>HYPERLINK("https://twitter.com/juanvelamacias","@juanvelamacias")</f>
        <v>@juanvelamacias</v>
      </c>
      <c r="C818" s="8" t="s">
        <v>2834</v>
      </c>
      <c r="D818" s="9" t="s">
        <v>2835</v>
      </c>
      <c r="E818" s="10" t="str">
        <f>HYPERLINK("https://twitter.com/juanvelamacias/status/1063795944381181955","1063795944381181955")</f>
        <v>1063795944381181955</v>
      </c>
      <c r="F818" s="12"/>
      <c r="G818" s="12"/>
      <c r="H818" s="12"/>
      <c r="I818" s="13">
        <v>1</v>
      </c>
      <c r="J818" s="13">
        <v>2</v>
      </c>
      <c r="K818" s="14" t="str">
        <f t="shared" ref="K818:K820" si="253">HYPERLINK("http://twitter.com/download/android","Twitter for Android")</f>
        <v>Twitter for Android</v>
      </c>
      <c r="L818" s="13">
        <v>1088</v>
      </c>
      <c r="M818" s="13">
        <v>2347</v>
      </c>
      <c r="N818" s="13">
        <v>9</v>
      </c>
      <c r="O818" s="15"/>
      <c r="P818" s="6">
        <v>42451.942858796298</v>
      </c>
      <c r="Q818" s="16" t="s">
        <v>644</v>
      </c>
      <c r="R818" s="21"/>
      <c r="S818" s="12"/>
      <c r="T818" s="12"/>
      <c r="U818" s="10" t="str">
        <f>HYPERLINK("https://pbs.twimg.com/profile_images/712408246250840065/SN57pyJ7.jpg","View")</f>
        <v>View</v>
      </c>
    </row>
    <row r="819" spans="1:21" ht="61.2">
      <c r="A819" s="6">
        <v>43421.627800925926</v>
      </c>
      <c r="B819" s="7" t="str">
        <f>HYPERLINK("https://twitter.com/julorre1988","@julorre1988")</f>
        <v>@julorre1988</v>
      </c>
      <c r="C819" s="8" t="s">
        <v>2836</v>
      </c>
      <c r="D819" s="9" t="s">
        <v>2837</v>
      </c>
      <c r="E819" s="10" t="str">
        <f>HYPERLINK("https://twitter.com/julorre1988/status/1063794896639803393","1063794896639803393")</f>
        <v>1063794896639803393</v>
      </c>
      <c r="F819" s="12"/>
      <c r="G819" s="11" t="s">
        <v>2838</v>
      </c>
      <c r="H819" s="12"/>
      <c r="I819" s="13">
        <v>2</v>
      </c>
      <c r="J819" s="13">
        <v>8</v>
      </c>
      <c r="K819" s="14" t="str">
        <f t="shared" si="253"/>
        <v>Twitter for Android</v>
      </c>
      <c r="L819" s="13">
        <v>304</v>
      </c>
      <c r="M819" s="13">
        <v>652</v>
      </c>
      <c r="N819" s="13">
        <v>2</v>
      </c>
      <c r="O819" s="15"/>
      <c r="P819" s="6">
        <v>41128.742592592593</v>
      </c>
      <c r="Q819" s="16" t="s">
        <v>2839</v>
      </c>
      <c r="R819" s="17" t="s">
        <v>2840</v>
      </c>
      <c r="S819" s="12"/>
      <c r="T819" s="12"/>
      <c r="U819" s="10" t="str">
        <f>HYPERLINK("https://pbs.twimg.com/profile_images/1020008367677476864/Avip4M78.jpg","View")</f>
        <v>View</v>
      </c>
    </row>
    <row r="820" spans="1:21" ht="51">
      <c r="A820" s="6">
        <v>43421.617349537039</v>
      </c>
      <c r="B820" s="7" t="str">
        <f>HYPERLINK("https://twitter.com/voxnoticias_es","@voxnoticias_es")</f>
        <v>@voxnoticias_es</v>
      </c>
      <c r="C820" s="8" t="s">
        <v>234</v>
      </c>
      <c r="D820" s="9" t="s">
        <v>2550</v>
      </c>
      <c r="E820" s="10" t="str">
        <f>HYPERLINK("https://twitter.com/voxnoticias_es/status/1063791108424171520","1063791108424171520")</f>
        <v>1063791108424171520</v>
      </c>
      <c r="F820" s="11" t="s">
        <v>2551</v>
      </c>
      <c r="G820" s="12"/>
      <c r="H820" s="12"/>
      <c r="I820" s="13">
        <v>235</v>
      </c>
      <c r="J820" s="13">
        <v>384</v>
      </c>
      <c r="K820" s="14" t="str">
        <f t="shared" si="253"/>
        <v>Twitter for Android</v>
      </c>
      <c r="L820" s="13">
        <v>19279</v>
      </c>
      <c r="M820" s="13">
        <v>2124</v>
      </c>
      <c r="N820" s="13">
        <v>136</v>
      </c>
      <c r="O820" s="15"/>
      <c r="P820" s="6">
        <v>41687.875428240739</v>
      </c>
      <c r="Q820" s="16" t="s">
        <v>238</v>
      </c>
      <c r="R820" s="17" t="s">
        <v>239</v>
      </c>
      <c r="S820" s="11" t="s">
        <v>240</v>
      </c>
      <c r="T820" s="12"/>
      <c r="U820" s="10" t="str">
        <f>HYPERLINK("https://pbs.twimg.com/profile_images/900432165195980801/-2-6PzuU.jpg","View")</f>
        <v>View</v>
      </c>
    </row>
    <row r="821" spans="1:21" ht="40.799999999999997">
      <c r="A821" s="6">
        <v>43421.616701388892</v>
      </c>
      <c r="B821" s="7" t="str">
        <f>HYPERLINK("https://twitter.com/Gotthia","@Gotthia")</f>
        <v>@Gotthia</v>
      </c>
      <c r="C821" s="8" t="s">
        <v>2845</v>
      </c>
      <c r="D821" s="9" t="s">
        <v>2846</v>
      </c>
      <c r="E821" s="10" t="str">
        <f>HYPERLINK("https://twitter.com/Gotthia/status/1063790873408954370","1063790873408954370")</f>
        <v>1063790873408954370</v>
      </c>
      <c r="F821" s="12"/>
      <c r="G821" s="12"/>
      <c r="H821" s="12"/>
      <c r="I821" s="13">
        <v>0</v>
      </c>
      <c r="J821" s="13">
        <v>0</v>
      </c>
      <c r="K821" s="14" t="str">
        <f>HYPERLINK("https://mobile.twitter.com","Twitter Lite")</f>
        <v>Twitter Lite</v>
      </c>
      <c r="L821" s="13">
        <v>1006</v>
      </c>
      <c r="M821" s="13">
        <v>806</v>
      </c>
      <c r="N821" s="13">
        <v>10</v>
      </c>
      <c r="O821" s="15"/>
      <c r="P821" s="6">
        <v>41429.453969907408</v>
      </c>
      <c r="Q821" s="12"/>
      <c r="R821" s="17" t="s">
        <v>2847</v>
      </c>
      <c r="S821" s="12"/>
      <c r="T821" s="12"/>
      <c r="U821" s="10" t="str">
        <f>HYPERLINK("https://pbs.twimg.com/profile_images/648943244009689088/KAMFTg0A.jpg","View")</f>
        <v>View</v>
      </c>
    </row>
    <row r="822" spans="1:21" ht="102">
      <c r="A822" s="6">
        <v>43421.613067129627</v>
      </c>
      <c r="B822" s="7" t="str">
        <f>HYPERLINK("https://twitter.com/Angel_Esojo","@Angel_Esojo")</f>
        <v>@Angel_Esojo</v>
      </c>
      <c r="C822" s="8" t="s">
        <v>792</v>
      </c>
      <c r="D822" s="9" t="s">
        <v>2848</v>
      </c>
      <c r="E822" s="10" t="str">
        <f>HYPERLINK("https://twitter.com/Angel_Esojo/status/1063789555898359808","1063789555898359808")</f>
        <v>1063789555898359808</v>
      </c>
      <c r="F822" s="16" t="s">
        <v>2851</v>
      </c>
      <c r="G822" s="12"/>
      <c r="H822" s="12"/>
      <c r="I822" s="13">
        <v>0</v>
      </c>
      <c r="J822" s="13">
        <v>1</v>
      </c>
      <c r="K822" s="14" t="str">
        <f>HYPERLINK("http://twitter.com/download/iphone","Twitter for iPhone")</f>
        <v>Twitter for iPhone</v>
      </c>
      <c r="L822" s="13">
        <v>3600</v>
      </c>
      <c r="M822" s="13">
        <v>790</v>
      </c>
      <c r="N822" s="13">
        <v>102</v>
      </c>
      <c r="O822" s="15"/>
      <c r="P822" s="6">
        <v>40814.799351851849</v>
      </c>
      <c r="Q822" s="16" t="s">
        <v>795</v>
      </c>
      <c r="R822" s="17" t="s">
        <v>796</v>
      </c>
      <c r="S822" s="11" t="s">
        <v>797</v>
      </c>
      <c r="T822" s="12"/>
      <c r="U822" s="10" t="str">
        <f>HYPERLINK("https://pbs.twimg.com/profile_images/988732473734565888/27MAMcVF.jpg","View")</f>
        <v>View</v>
      </c>
    </row>
    <row r="823" spans="1:21" ht="13.2">
      <c r="A823" s="6">
        <v>43421.609189814815</v>
      </c>
      <c r="B823" s="7" t="str">
        <f>HYPERLINK("https://twitter.com/fernando17pm","@fernando17pm")</f>
        <v>@fernando17pm</v>
      </c>
      <c r="C823" s="8" t="s">
        <v>409</v>
      </c>
      <c r="D823" s="9" t="s">
        <v>2854</v>
      </c>
      <c r="E823" s="10" t="str">
        <f>HYPERLINK("https://twitter.com/fernando17pm/status/1063788153415311360","1063788153415311360")</f>
        <v>1063788153415311360</v>
      </c>
      <c r="F823" s="12"/>
      <c r="G823" s="11" t="s">
        <v>2855</v>
      </c>
      <c r="H823" s="12"/>
      <c r="I823" s="13">
        <v>0</v>
      </c>
      <c r="J823" s="13">
        <v>1</v>
      </c>
      <c r="K823" s="14" t="str">
        <f t="shared" ref="K823:K824" si="254">HYPERLINK("http://twitter.com/download/android","Twitter for Android")</f>
        <v>Twitter for Android</v>
      </c>
      <c r="L823" s="13">
        <v>176</v>
      </c>
      <c r="M823" s="13">
        <v>367</v>
      </c>
      <c r="N823" s="13">
        <v>1</v>
      </c>
      <c r="O823" s="15"/>
      <c r="P823" s="6">
        <v>42593.71875</v>
      </c>
      <c r="Q823" s="12"/>
      <c r="R823" s="17">
        <v>107</v>
      </c>
      <c r="S823" s="12"/>
      <c r="T823" s="12"/>
      <c r="U823" s="10" t="str">
        <f>HYPERLINK("https://pbs.twimg.com/profile_images/935623138787954690/6qn4B1bn.jpg","View")</f>
        <v>View</v>
      </c>
    </row>
    <row r="824" spans="1:21" ht="71.400000000000006">
      <c r="A824" s="6">
        <v>43421.598761574074</v>
      </c>
      <c r="B824" s="7" t="str">
        <f>HYPERLINK("https://twitter.com/sebasti55442171","@sebasti55442171")</f>
        <v>@sebasti55442171</v>
      </c>
      <c r="C824" s="8" t="s">
        <v>3416</v>
      </c>
      <c r="D824" s="9" t="s">
        <v>3417</v>
      </c>
      <c r="E824" s="10" t="str">
        <f>HYPERLINK("https://twitter.com/sebasti55442171/status/1063784373051432960","1063784373051432960")</f>
        <v>1063784373051432960</v>
      </c>
      <c r="F824" s="11" t="s">
        <v>2603</v>
      </c>
      <c r="G824" s="11" t="s">
        <v>2604</v>
      </c>
      <c r="H824" s="12"/>
      <c r="I824" s="13">
        <v>0</v>
      </c>
      <c r="J824" s="13">
        <v>0</v>
      </c>
      <c r="K824" s="14" t="str">
        <f t="shared" si="254"/>
        <v>Twitter for Android</v>
      </c>
      <c r="L824" s="13">
        <v>77</v>
      </c>
      <c r="M824" s="13">
        <v>746</v>
      </c>
      <c r="N824" s="13">
        <v>0</v>
      </c>
      <c r="O824" s="15"/>
      <c r="P824" s="6">
        <v>42351.393136574072</v>
      </c>
      <c r="Q824" s="12"/>
      <c r="R824" s="21"/>
      <c r="S824" s="12"/>
      <c r="T824" s="12"/>
      <c r="U824" s="10" t="str">
        <f>HYPERLINK("https://pbs.twimg.com/profile_images/675958491480260608/nDNj-NCq.jpg","View")</f>
        <v>View</v>
      </c>
    </row>
    <row r="825" spans="1:21" ht="20.399999999999999">
      <c r="A825" s="6">
        <v>43421.588043981479</v>
      </c>
      <c r="B825" s="7" t="str">
        <f>HYPERLINK("https://twitter.com/uroibero","@uroibero")</f>
        <v>@uroibero</v>
      </c>
      <c r="C825" s="8" t="s">
        <v>2856</v>
      </c>
      <c r="D825" s="9" t="s">
        <v>2857</v>
      </c>
      <c r="E825" s="10" t="str">
        <f>HYPERLINK("https://twitter.com/uroibero/status/1063780488840646656","1063780488840646656")</f>
        <v>1063780488840646656</v>
      </c>
      <c r="F825" s="12"/>
      <c r="G825" s="11" t="s">
        <v>2858</v>
      </c>
      <c r="H825" s="12"/>
      <c r="I825" s="13">
        <v>0</v>
      </c>
      <c r="J825" s="13">
        <v>0</v>
      </c>
      <c r="K825" s="14" t="str">
        <f t="shared" ref="K825:K826" si="255">HYPERLINK("http://twitter.com/download/iphone","Twitter for iPhone")</f>
        <v>Twitter for iPhone</v>
      </c>
      <c r="L825" s="13">
        <v>100</v>
      </c>
      <c r="M825" s="13">
        <v>300</v>
      </c>
      <c r="N825" s="13">
        <v>0</v>
      </c>
      <c r="O825" s="15"/>
      <c r="P825" s="6">
        <v>43135.894039351857</v>
      </c>
      <c r="Q825" s="16" t="s">
        <v>66</v>
      </c>
      <c r="R825" s="17" t="s">
        <v>2859</v>
      </c>
      <c r="S825" s="12"/>
      <c r="T825" s="12"/>
      <c r="U825" s="10" t="str">
        <f>HYPERLINK("https://pbs.twimg.com/profile_images/1060159457399894016/R74Ux0io.jpg","View")</f>
        <v>View</v>
      </c>
    </row>
    <row r="826" spans="1:21" ht="30.6">
      <c r="A826" s="6">
        <v>43421.586122685185</v>
      </c>
      <c r="B826" s="7" t="str">
        <f>HYPERLINK("https://twitter.com/JoseReig67","@JoseReig67")</f>
        <v>@JoseReig67</v>
      </c>
      <c r="C826" s="8" t="s">
        <v>2693</v>
      </c>
      <c r="D826" s="9" t="s">
        <v>2860</v>
      </c>
      <c r="E826" s="10" t="str">
        <f>HYPERLINK("https://twitter.com/JoseReig67/status/1063779793873846272","1063779793873846272")</f>
        <v>1063779793873846272</v>
      </c>
      <c r="F826" s="12"/>
      <c r="G826" s="11" t="s">
        <v>2861</v>
      </c>
      <c r="H826" s="12"/>
      <c r="I826" s="13">
        <v>1</v>
      </c>
      <c r="J826" s="13">
        <v>4</v>
      </c>
      <c r="K826" s="14" t="str">
        <f t="shared" si="255"/>
        <v>Twitter for iPhone</v>
      </c>
      <c r="L826" s="13">
        <v>15</v>
      </c>
      <c r="M826" s="13">
        <v>147</v>
      </c>
      <c r="N826" s="13">
        <v>0</v>
      </c>
      <c r="O826" s="15"/>
      <c r="P826" s="6">
        <v>42986.983854166669</v>
      </c>
      <c r="Q826" s="16" t="s">
        <v>1677</v>
      </c>
      <c r="R826" s="17" t="s">
        <v>2695</v>
      </c>
      <c r="S826" s="12"/>
      <c r="T826" s="12"/>
      <c r="U826" s="10" t="str">
        <f>HYPERLINK("https://pbs.twimg.com/profile_images/914561003706355713/cz3Vzkb1.jpg","View")</f>
        <v>View</v>
      </c>
    </row>
    <row r="827" spans="1:21" ht="51">
      <c r="A827" s="6">
        <v>43421.583437499998</v>
      </c>
      <c r="B827" s="7" t="str">
        <f>HYPERLINK("https://twitter.com/Jam1Juan","@Jam1Juan")</f>
        <v>@Jam1Juan</v>
      </c>
      <c r="C827" s="8" t="s">
        <v>241</v>
      </c>
      <c r="D827" s="9" t="s">
        <v>2862</v>
      </c>
      <c r="E827" s="10" t="str">
        <f>HYPERLINK("https://twitter.com/Jam1Juan/status/1063778821311250432","1063778821311250432")</f>
        <v>1063778821311250432</v>
      </c>
      <c r="F827" s="12"/>
      <c r="G827" s="12"/>
      <c r="H827" s="12"/>
      <c r="I827" s="13">
        <v>4</v>
      </c>
      <c r="J827" s="13">
        <v>4</v>
      </c>
      <c r="K827" s="14" t="str">
        <f t="shared" ref="K827:K828" si="256">HYPERLINK("http://twitter.com/download/android","Twitter for Android")</f>
        <v>Twitter for Android</v>
      </c>
      <c r="L827" s="13">
        <v>7882</v>
      </c>
      <c r="M827" s="13">
        <v>6326</v>
      </c>
      <c r="N827" s="13">
        <v>94</v>
      </c>
      <c r="O827" s="15"/>
      <c r="P827" s="6">
        <v>41130.512592592597</v>
      </c>
      <c r="Q827" s="16" t="s">
        <v>244</v>
      </c>
      <c r="R827" s="17" t="s">
        <v>245</v>
      </c>
      <c r="S827" s="12"/>
      <c r="T827" s="12"/>
      <c r="U827" s="10" t="str">
        <f>HYPERLINK("https://pbs.twimg.com/profile_images/742352397314314240/2R45Yx63.jpg","View")</f>
        <v>View</v>
      </c>
    </row>
    <row r="828" spans="1:21" ht="20.399999999999999">
      <c r="A828" s="6">
        <v>43421.582094907411</v>
      </c>
      <c r="B828" s="7" t="str">
        <f>HYPERLINK("https://twitter.com/JuanPii7","@JuanPii7")</f>
        <v>@JuanPii7</v>
      </c>
      <c r="C828" s="8" t="s">
        <v>2863</v>
      </c>
      <c r="D828" s="9" t="s">
        <v>2864</v>
      </c>
      <c r="E828" s="10" t="str">
        <f>HYPERLINK("https://twitter.com/JuanPii7/status/1063778333459169281","1063778333459169281")</f>
        <v>1063778333459169281</v>
      </c>
      <c r="F828" s="12"/>
      <c r="G828" s="11" t="s">
        <v>2865</v>
      </c>
      <c r="H828" s="12"/>
      <c r="I828" s="13">
        <v>0</v>
      </c>
      <c r="J828" s="13">
        <v>3</v>
      </c>
      <c r="K828" s="14" t="str">
        <f t="shared" si="256"/>
        <v>Twitter for Android</v>
      </c>
      <c r="L828" s="13">
        <v>216</v>
      </c>
      <c r="M828" s="13">
        <v>168</v>
      </c>
      <c r="N828" s="13">
        <v>20</v>
      </c>
      <c r="O828" s="15"/>
      <c r="P828" s="6">
        <v>41108.589004629626</v>
      </c>
      <c r="Q828" s="16" t="s">
        <v>1677</v>
      </c>
      <c r="R828" s="17" t="s">
        <v>2866</v>
      </c>
      <c r="S828" s="12"/>
      <c r="T828" s="12"/>
      <c r="U828" s="10" t="str">
        <f>HYPERLINK("https://pbs.twimg.com/profile_images/943500852236574720/Wq0kzOyT.jpg","View")</f>
        <v>View</v>
      </c>
    </row>
    <row r="829" spans="1:21" ht="71.400000000000006">
      <c r="A829" s="6">
        <v>43421.581875000003</v>
      </c>
      <c r="B829" s="7" t="str">
        <f>HYPERLINK("https://twitter.com/ATCoco2017","@ATCoco2017")</f>
        <v>@ATCoco2017</v>
      </c>
      <c r="C829" s="8" t="s">
        <v>2717</v>
      </c>
      <c r="D829" s="9" t="s">
        <v>2868</v>
      </c>
      <c r="E829" s="10" t="str">
        <f>HYPERLINK("https://twitter.com/ATCoco2017/status/1063778252295233543","1063778252295233543")</f>
        <v>1063778252295233543</v>
      </c>
      <c r="F829" s="16" t="s">
        <v>2869</v>
      </c>
      <c r="G829" s="12"/>
      <c r="H829" s="12"/>
      <c r="I829" s="13">
        <v>0</v>
      </c>
      <c r="J829" s="13">
        <v>1</v>
      </c>
      <c r="K829" s="14" t="str">
        <f>HYPERLINK("http://twitter.com/download/iphone","Twitter for iPhone")</f>
        <v>Twitter for iPhone</v>
      </c>
      <c r="L829" s="13">
        <v>317</v>
      </c>
      <c r="M829" s="13">
        <v>83</v>
      </c>
      <c r="N829" s="13">
        <v>2</v>
      </c>
      <c r="O829" s="15"/>
      <c r="P829" s="6">
        <v>43012.361898148149</v>
      </c>
      <c r="Q829" s="16" t="s">
        <v>1748</v>
      </c>
      <c r="R829" s="21"/>
      <c r="S829" s="12"/>
      <c r="T829" s="12"/>
      <c r="U829" s="10" t="str">
        <f>HYPERLINK("https://pbs.twimg.com/profile_images/953191161405026304/WmZYMXL5.jpg","View")</f>
        <v>View</v>
      </c>
    </row>
    <row r="830" spans="1:21" ht="40.799999999999997">
      <c r="A830" s="6">
        <v>43421.576041666667</v>
      </c>
      <c r="B830" s="7" t="str">
        <f>HYPERLINK("https://twitter.com/EranThRedHair","@EranThRedHair")</f>
        <v>@EranThRedHair</v>
      </c>
      <c r="C830" s="8" t="s">
        <v>2873</v>
      </c>
      <c r="D830" s="9" t="s">
        <v>2874</v>
      </c>
      <c r="E830" s="10" t="str">
        <f>HYPERLINK("https://twitter.com/EranThRedHair/status/1063776139833954304","1063776139833954304")</f>
        <v>1063776139833954304</v>
      </c>
      <c r="F830" s="12"/>
      <c r="G830" s="12"/>
      <c r="H830" s="12"/>
      <c r="I830" s="13">
        <v>0</v>
      </c>
      <c r="J830" s="13">
        <v>3</v>
      </c>
      <c r="K830" s="14" t="str">
        <f>HYPERLINK("http://twitter.com","Twitter Web Client")</f>
        <v>Twitter Web Client</v>
      </c>
      <c r="L830" s="13">
        <v>150</v>
      </c>
      <c r="M830" s="13">
        <v>124</v>
      </c>
      <c r="N830" s="13">
        <v>1</v>
      </c>
      <c r="O830" s="15"/>
      <c r="P830" s="6">
        <v>41654.813599537039</v>
      </c>
      <c r="Q830" s="16" t="s">
        <v>2875</v>
      </c>
      <c r="R830" s="17" t="s">
        <v>2876</v>
      </c>
      <c r="S830" s="11" t="s">
        <v>2877</v>
      </c>
      <c r="T830" s="12"/>
      <c r="U830" s="10" t="str">
        <f>HYPERLINK("https://pbs.twimg.com/profile_images/1044240186803187712/tgdQVfQS.jpg","View")</f>
        <v>View</v>
      </c>
    </row>
    <row r="831" spans="1:21" ht="91.8">
      <c r="A831" s="6">
        <v>43421.567500000005</v>
      </c>
      <c r="B831" s="7" t="str">
        <f>HYPERLINK("https://twitter.com/RafaelSolsOrtiz","@RafaelSolsOrtiz")</f>
        <v>@RafaelSolsOrtiz</v>
      </c>
      <c r="C831" s="8" t="s">
        <v>3435</v>
      </c>
      <c r="D831" s="9" t="s">
        <v>3436</v>
      </c>
      <c r="E831" s="10" t="str">
        <f>HYPERLINK("https://twitter.com/RafaelSolsOrtiz/status/1063773044517281792","1063773044517281792")</f>
        <v>1063773044517281792</v>
      </c>
      <c r="F831" s="11" t="s">
        <v>2603</v>
      </c>
      <c r="G831" s="11" t="s">
        <v>2604</v>
      </c>
      <c r="H831" s="12"/>
      <c r="I831" s="13">
        <v>5</v>
      </c>
      <c r="J831" s="13">
        <v>7</v>
      </c>
      <c r="K831" s="14" t="str">
        <f>HYPERLINK("http://twitter.com/download/iphone","Twitter for iPhone")</f>
        <v>Twitter for iPhone</v>
      </c>
      <c r="L831" s="13">
        <v>1463</v>
      </c>
      <c r="M831" s="13">
        <v>1219</v>
      </c>
      <c r="N831" s="13">
        <v>13</v>
      </c>
      <c r="O831" s="15"/>
      <c r="P831" s="6">
        <v>41074.425335648149</v>
      </c>
      <c r="Q831" s="16" t="s">
        <v>113</v>
      </c>
      <c r="R831" s="17" t="s">
        <v>3437</v>
      </c>
      <c r="S831" s="11" t="s">
        <v>3438</v>
      </c>
      <c r="T831" s="12"/>
      <c r="U831" s="10" t="str">
        <f>HYPERLINK("https://pbs.twimg.com/profile_images/755389664152911872/3h2Im1EJ.jpg","View")</f>
        <v>View</v>
      </c>
    </row>
    <row r="832" spans="1:21" ht="61.2">
      <c r="A832" s="6">
        <v>43421.567395833335</v>
      </c>
      <c r="B832" s="7" t="str">
        <f>HYPERLINK("https://twitter.com/NeroPaddilla","@NeroPaddilla")</f>
        <v>@NeroPaddilla</v>
      </c>
      <c r="C832" s="8" t="s">
        <v>1546</v>
      </c>
      <c r="D832" s="9" t="s">
        <v>2878</v>
      </c>
      <c r="E832" s="10" t="str">
        <f>HYPERLINK("https://twitter.com/NeroPaddilla/status/1063773008458891265","1063773008458891265")</f>
        <v>1063773008458891265</v>
      </c>
      <c r="F832" s="16" t="s">
        <v>2879</v>
      </c>
      <c r="G832" s="12"/>
      <c r="H832" s="12"/>
      <c r="I832" s="13">
        <v>0</v>
      </c>
      <c r="J832" s="13">
        <v>0</v>
      </c>
      <c r="K832" s="14" t="str">
        <f>HYPERLINK("http://twitter.com","Twitter Web Client")</f>
        <v>Twitter Web Client</v>
      </c>
      <c r="L832" s="13">
        <v>530</v>
      </c>
      <c r="M832" s="13">
        <v>1145</v>
      </c>
      <c r="N832" s="13">
        <v>0</v>
      </c>
      <c r="O832" s="15"/>
      <c r="P832" s="6">
        <v>43177.728159722217</v>
      </c>
      <c r="Q832" s="12"/>
      <c r="R832" s="21"/>
      <c r="S832" s="12"/>
      <c r="T832" s="12"/>
      <c r="U832" s="10" t="str">
        <f>HYPERLINK("https://pbs.twimg.com/profile_images/975414123369500672/1Q9skH_w.jpg","View")</f>
        <v>View</v>
      </c>
    </row>
    <row r="833" spans="1:21" ht="40.799999999999997">
      <c r="A833" s="6">
        <v>43421.559432870374</v>
      </c>
      <c r="B833" s="7" t="str">
        <f>HYPERLINK("https://twitter.com/AsociacionRayya","@AsociacionRayya")</f>
        <v>@AsociacionRayya</v>
      </c>
      <c r="C833" s="8" t="s">
        <v>2882</v>
      </c>
      <c r="D833" s="9" t="s">
        <v>2883</v>
      </c>
      <c r="E833" s="10" t="str">
        <f>HYPERLINK("https://twitter.com/AsociacionRayya/status/1063770122924564481","1063770122924564481")</f>
        <v>1063770122924564481</v>
      </c>
      <c r="F833" s="12"/>
      <c r="G833" s="12"/>
      <c r="H833" s="12"/>
      <c r="I833" s="13">
        <v>1</v>
      </c>
      <c r="J833" s="13">
        <v>2</v>
      </c>
      <c r="K833" s="14" t="str">
        <f>HYPERLINK("http://twitter.com/download/iphone","Twitter for iPhone")</f>
        <v>Twitter for iPhone</v>
      </c>
      <c r="L833" s="13">
        <v>1121</v>
      </c>
      <c r="M833" s="13">
        <v>922</v>
      </c>
      <c r="N833" s="13">
        <v>11</v>
      </c>
      <c r="O833" s="15"/>
      <c r="P833" s="6">
        <v>40874.59207175926</v>
      </c>
      <c r="Q833" s="16" t="s">
        <v>2885</v>
      </c>
      <c r="R833" s="17" t="s">
        <v>2886</v>
      </c>
      <c r="S833" s="11" t="s">
        <v>2887</v>
      </c>
      <c r="T833" s="12"/>
      <c r="U833" s="10" t="str">
        <f>HYPERLINK("https://pbs.twimg.com/profile_images/847224193401868288/6iKiBRW3.jpg","View")</f>
        <v>View</v>
      </c>
    </row>
    <row r="834" spans="1:21" ht="81.599999999999994">
      <c r="A834" s="6">
        <v>43421.552662037036</v>
      </c>
      <c r="B834" s="7" t="str">
        <f>HYPERLINK("https://twitter.com/NeroPaddilla","@NeroPaddilla")</f>
        <v>@NeroPaddilla</v>
      </c>
      <c r="C834" s="8" t="s">
        <v>1546</v>
      </c>
      <c r="D834" s="9" t="s">
        <v>2888</v>
      </c>
      <c r="E834" s="10" t="str">
        <f>HYPERLINK("https://twitter.com/NeroPaddilla/status/1063767668438781952","1063767668438781952")</f>
        <v>1063767668438781952</v>
      </c>
      <c r="F834" s="16" t="s">
        <v>2889</v>
      </c>
      <c r="G834" s="12"/>
      <c r="H834" s="12"/>
      <c r="I834" s="13">
        <v>0</v>
      </c>
      <c r="J834" s="13">
        <v>0</v>
      </c>
      <c r="K834" s="14" t="str">
        <f>HYPERLINK("http://twitter.com","Twitter Web Client")</f>
        <v>Twitter Web Client</v>
      </c>
      <c r="L834" s="13">
        <v>530</v>
      </c>
      <c r="M834" s="13">
        <v>1145</v>
      </c>
      <c r="N834" s="13">
        <v>0</v>
      </c>
      <c r="O834" s="15"/>
      <c r="P834" s="6">
        <v>43177.728159722217</v>
      </c>
      <c r="Q834" s="12"/>
      <c r="R834" s="21"/>
      <c r="S834" s="12"/>
      <c r="T834" s="12"/>
      <c r="U834" s="10" t="str">
        <f>HYPERLINK("https://pbs.twimg.com/profile_images/975414123369500672/1Q9skH_w.jpg","View")</f>
        <v>View</v>
      </c>
    </row>
    <row r="835" spans="1:21" ht="20.399999999999999">
      <c r="A835" s="6">
        <v>43421.548449074078</v>
      </c>
      <c r="B835" s="7" t="str">
        <f>HYPERLINK("https://twitter.com/RubenSanchezTW","@RubenSanchezTW")</f>
        <v>@RubenSanchezTW</v>
      </c>
      <c r="C835" s="8" t="s">
        <v>2456</v>
      </c>
      <c r="D835" s="9" t="s">
        <v>2890</v>
      </c>
      <c r="E835" s="10" t="str">
        <f>HYPERLINK("https://twitter.com/RubenSanchezTW/status/1063766140030193664","1063766140030193664")</f>
        <v>1063766140030193664</v>
      </c>
      <c r="F835" s="11" t="s">
        <v>2891</v>
      </c>
      <c r="G835" s="12"/>
      <c r="H835" s="12"/>
      <c r="I835" s="13">
        <v>52</v>
      </c>
      <c r="J835" s="13">
        <v>59</v>
      </c>
      <c r="K835" s="14" t="str">
        <f>HYPERLINK("http://twitter.com/download/android","Twitter for Android")</f>
        <v>Twitter for Android</v>
      </c>
      <c r="L835" s="13">
        <v>146173</v>
      </c>
      <c r="M835" s="13">
        <v>867</v>
      </c>
      <c r="N835" s="13">
        <v>1672</v>
      </c>
      <c r="O835" s="23" t="s">
        <v>186</v>
      </c>
      <c r="P835" s="6">
        <v>40682.407361111109</v>
      </c>
      <c r="Q835" s="16" t="s">
        <v>1204</v>
      </c>
      <c r="R835" s="17" t="s">
        <v>2457</v>
      </c>
      <c r="S835" s="11" t="s">
        <v>2458</v>
      </c>
      <c r="T835" s="12"/>
      <c r="U835" s="10" t="str">
        <f>HYPERLINK("https://pbs.twimg.com/profile_images/1057782918217678848/VS_Lqs8O.jpg","View")</f>
        <v>View</v>
      </c>
    </row>
    <row r="836" spans="1:21" ht="51">
      <c r="A836" s="6">
        <v>43421.545902777776</v>
      </c>
      <c r="B836" s="7" t="str">
        <f>HYPERLINK("https://twitter.com/LuisaCarrascoV","@LuisaCarrascoV")</f>
        <v>@LuisaCarrascoV</v>
      </c>
      <c r="C836" s="8" t="s">
        <v>2892</v>
      </c>
      <c r="D836" s="9" t="s">
        <v>2893</v>
      </c>
      <c r="E836" s="10" t="str">
        <f>HYPERLINK("https://twitter.com/LuisaCarrascoV/status/1063765217765728258","1063765217765728258")</f>
        <v>1063765217765728258</v>
      </c>
      <c r="F836" s="12"/>
      <c r="G836" s="11" t="s">
        <v>2894</v>
      </c>
      <c r="H836" s="12"/>
      <c r="I836" s="13">
        <v>1</v>
      </c>
      <c r="J836" s="13">
        <v>3</v>
      </c>
      <c r="K836" s="14" t="str">
        <f>HYPERLINK("https://mobile.twitter.com","Twitter Lite")</f>
        <v>Twitter Lite</v>
      </c>
      <c r="L836" s="13">
        <v>5129</v>
      </c>
      <c r="M836" s="13">
        <v>5528</v>
      </c>
      <c r="N836" s="13">
        <v>128</v>
      </c>
      <c r="O836" s="15"/>
      <c r="P836" s="6">
        <v>40865.818298611113</v>
      </c>
      <c r="Q836" s="16" t="s">
        <v>1525</v>
      </c>
      <c r="R836" s="17" t="s">
        <v>2895</v>
      </c>
      <c r="S836" s="12"/>
      <c r="T836" s="12"/>
      <c r="U836" s="10" t="str">
        <f>HYPERLINK("https://pbs.twimg.com/profile_images/1054106255005020161/x1aQk-Dw.jpg","View")</f>
        <v>View</v>
      </c>
    </row>
    <row r="837" spans="1:21" ht="61.2">
      <c r="A837" s="6">
        <v>43421.545810185184</v>
      </c>
      <c r="B837" s="7" t="str">
        <f>HYPERLINK("https://twitter.com/J_GUTIERREZ_JG","@J_GUTIERREZ_JG")</f>
        <v>@J_GUTIERREZ_JG</v>
      </c>
      <c r="C837" s="8" t="s">
        <v>2896</v>
      </c>
      <c r="D837" s="9" t="s">
        <v>2897</v>
      </c>
      <c r="E837" s="10" t="str">
        <f>HYPERLINK("https://twitter.com/J_GUTIERREZ_JG/status/1063765184756486146","1063765184756486146")</f>
        <v>1063765184756486146</v>
      </c>
      <c r="F837" s="12"/>
      <c r="G837" s="12"/>
      <c r="H837" s="12"/>
      <c r="I837" s="13">
        <v>0</v>
      </c>
      <c r="J837" s="13">
        <v>0</v>
      </c>
      <c r="K837" s="14" t="str">
        <f>HYPERLINK("http://twitter.com","Twitter Web Client")</f>
        <v>Twitter Web Client</v>
      </c>
      <c r="L837" s="13">
        <v>41</v>
      </c>
      <c r="M837" s="13">
        <v>216</v>
      </c>
      <c r="N837" s="13">
        <v>1</v>
      </c>
      <c r="O837" s="15"/>
      <c r="P837" s="6">
        <v>43167.416886574079</v>
      </c>
      <c r="Q837" s="16" t="s">
        <v>66</v>
      </c>
      <c r="R837" s="21"/>
      <c r="S837" s="12"/>
      <c r="T837" s="12"/>
      <c r="U837" s="10" t="str">
        <f>HYPERLINK("https://pbs.twimg.com/profile_images/1050691215971225600/rD8PphP_.jpg","View")</f>
        <v>View</v>
      </c>
    </row>
    <row r="838" spans="1:21" ht="122.4">
      <c r="A838" s="6">
        <v>43421.545034722221</v>
      </c>
      <c r="B838" s="7" t="str">
        <f>HYPERLINK("https://twitter.com/claritasnail","@claritasnail")</f>
        <v>@claritasnail</v>
      </c>
      <c r="C838" s="8" t="s">
        <v>2898</v>
      </c>
      <c r="D838" s="9" t="s">
        <v>2899</v>
      </c>
      <c r="E838" s="10" t="str">
        <f>HYPERLINK("https://twitter.com/claritasnail/status/1063764902173704193","1063764902173704193")</f>
        <v>1063764902173704193</v>
      </c>
      <c r="F838" s="11" t="s">
        <v>2900</v>
      </c>
      <c r="G838" s="12"/>
      <c r="H838" s="12"/>
      <c r="I838" s="13">
        <v>0</v>
      </c>
      <c r="J838" s="13">
        <v>0</v>
      </c>
      <c r="K838" s="14" t="str">
        <f>HYPERLINK("https://mobile.twitter.com","Twitter Lite")</f>
        <v>Twitter Lite</v>
      </c>
      <c r="L838" s="13">
        <v>56</v>
      </c>
      <c r="M838" s="13">
        <v>100</v>
      </c>
      <c r="N838" s="13">
        <v>0</v>
      </c>
      <c r="O838" s="15"/>
      <c r="P838" s="6">
        <v>42788.895069444443</v>
      </c>
      <c r="Q838" s="16" t="s">
        <v>44</v>
      </c>
      <c r="R838" s="17" t="s">
        <v>2901</v>
      </c>
      <c r="S838" s="12"/>
      <c r="T838" s="12"/>
      <c r="U838" s="10" t="str">
        <f>HYPERLINK("https://pbs.twimg.com/profile_images/1044697421123657728/sRKfn2BS.jpg","View")</f>
        <v>View</v>
      </c>
    </row>
    <row r="839" spans="1:21" ht="40.799999999999997">
      <c r="A839" s="6">
        <v>43421.541851851856</v>
      </c>
      <c r="B839" s="7" t="str">
        <f>HYPERLINK("https://twitter.com/CasoAislado_Es","@CasoAislado_Es")</f>
        <v>@CasoAislado_Es</v>
      </c>
      <c r="C839" s="8" t="s">
        <v>530</v>
      </c>
      <c r="D839" s="9" t="s">
        <v>2902</v>
      </c>
      <c r="E839" s="10" t="str">
        <f>HYPERLINK("https://twitter.com/CasoAislado_Es/status/1063763751764193280","1063763751764193280")</f>
        <v>1063763751764193280</v>
      </c>
      <c r="F839" s="11" t="s">
        <v>2903</v>
      </c>
      <c r="G839" s="12"/>
      <c r="H839" s="12"/>
      <c r="I839" s="13">
        <v>169</v>
      </c>
      <c r="J839" s="13">
        <v>323</v>
      </c>
      <c r="K839" s="14" t="str">
        <f>HYPERLINK("http://twitter.com","Twitter Web Client")</f>
        <v>Twitter Web Client</v>
      </c>
      <c r="L839" s="13">
        <v>20849</v>
      </c>
      <c r="M839" s="13">
        <v>6396</v>
      </c>
      <c r="N839" s="13">
        <v>145</v>
      </c>
      <c r="O839" s="15"/>
      <c r="P839" s="6">
        <v>40257.560439814813</v>
      </c>
      <c r="Q839" s="16" t="s">
        <v>533</v>
      </c>
      <c r="R839" s="17" t="s">
        <v>534</v>
      </c>
      <c r="S839" s="11" t="s">
        <v>535</v>
      </c>
      <c r="T839" s="12"/>
      <c r="U839" s="10" t="str">
        <f>HYPERLINK("https://pbs.twimg.com/profile_images/818503412702707713/QK1J8CEn.jpg","View")</f>
        <v>View</v>
      </c>
    </row>
    <row r="840" spans="1:21" ht="30.6">
      <c r="A840" s="6">
        <v>43421.522893518515</v>
      </c>
      <c r="B840" s="7" t="str">
        <f>HYPERLINK("https://twitter.com/Lawdylumm","@Lawdylumm")</f>
        <v>@Lawdylumm</v>
      </c>
      <c r="C840" s="8" t="s">
        <v>2904</v>
      </c>
      <c r="D840" s="9" t="s">
        <v>2905</v>
      </c>
      <c r="E840" s="10" t="str">
        <f>HYPERLINK("https://twitter.com/Lawdylumm/status/1063756879405428736","1063756879405428736")</f>
        <v>1063756879405428736</v>
      </c>
      <c r="F840" s="12"/>
      <c r="G840" s="11" t="s">
        <v>2906</v>
      </c>
      <c r="H840" s="12"/>
      <c r="I840" s="13">
        <v>0</v>
      </c>
      <c r="J840" s="13">
        <v>1</v>
      </c>
      <c r="K840" s="14" t="str">
        <f>HYPERLINK("http://twitter.com/download/iphone","Twitter for iPhone")</f>
        <v>Twitter for iPhone</v>
      </c>
      <c r="L840" s="13">
        <v>258</v>
      </c>
      <c r="M840" s="13">
        <v>653</v>
      </c>
      <c r="N840" s="13">
        <v>5</v>
      </c>
      <c r="O840" s="15"/>
      <c r="P840" s="6">
        <v>42520.938750000001</v>
      </c>
      <c r="Q840" s="16" t="s">
        <v>644</v>
      </c>
      <c r="R840" s="17" t="s">
        <v>2907</v>
      </c>
      <c r="S840" s="12"/>
      <c r="T840" s="12"/>
      <c r="U840" s="10" t="str">
        <f>HYPERLINK("https://pbs.twimg.com/profile_images/935282044816580610/6yX3dMUf.jpg","View")</f>
        <v>View</v>
      </c>
    </row>
    <row r="841" spans="1:21" ht="51">
      <c r="A841" s="6">
        <v>43421.521331018521</v>
      </c>
      <c r="B841" s="7" t="str">
        <f>HYPERLINK("https://twitter.com/vox_es","@vox_es")</f>
        <v>@vox_es</v>
      </c>
      <c r="C841" s="8" t="s">
        <v>689</v>
      </c>
      <c r="D841" s="9" t="s">
        <v>2908</v>
      </c>
      <c r="E841" s="10" t="str">
        <f>HYPERLINK("https://twitter.com/vox_es/status/1063756312025145344","1063756312025145344")</f>
        <v>1063756312025145344</v>
      </c>
      <c r="F841" s="12"/>
      <c r="G841" s="11" t="s">
        <v>2604</v>
      </c>
      <c r="H841" s="12"/>
      <c r="I841" s="13">
        <v>1633</v>
      </c>
      <c r="J841" s="13">
        <v>3237</v>
      </c>
      <c r="K841" s="14" t="str">
        <f>HYPERLINK("http://twitter.com/download/android","Twitter for Android")</f>
        <v>Twitter for Android</v>
      </c>
      <c r="L841" s="13">
        <v>122548</v>
      </c>
      <c r="M841" s="13">
        <v>915</v>
      </c>
      <c r="N841" s="13">
        <v>919</v>
      </c>
      <c r="O841" s="23" t="s">
        <v>186</v>
      </c>
      <c r="P841" s="6">
        <v>41596.746655092589</v>
      </c>
      <c r="Q841" s="12"/>
      <c r="R841" s="17" t="s">
        <v>694</v>
      </c>
      <c r="S841" s="11" t="s">
        <v>187</v>
      </c>
      <c r="T841" s="12"/>
      <c r="U841" s="10" t="str">
        <f>HYPERLINK("https://pbs.twimg.com/profile_images/1016653788617363456/m3b3jqW5.jpg","View")</f>
        <v>View</v>
      </c>
    </row>
    <row r="842" spans="1:21" ht="20.399999999999999">
      <c r="A842" s="6">
        <v>43421.517337962963</v>
      </c>
      <c r="B842" s="7" t="str">
        <f>HYPERLINK("https://twitter.com/Bertinos_Borne","@Bertinos_Borne")</f>
        <v>@Bertinos_Borne</v>
      </c>
      <c r="C842" s="8" t="s">
        <v>2909</v>
      </c>
      <c r="D842" s="9" t="s">
        <v>2910</v>
      </c>
      <c r="E842" s="10" t="str">
        <f>HYPERLINK("https://twitter.com/Bertinos_Borne/status/1063754868131864576","1063754868131864576")</f>
        <v>1063754868131864576</v>
      </c>
      <c r="F842" s="11" t="s">
        <v>2911</v>
      </c>
      <c r="G842" s="11" t="s">
        <v>2912</v>
      </c>
      <c r="H842" s="12"/>
      <c r="I842" s="13">
        <v>0</v>
      </c>
      <c r="J842" s="13">
        <v>0</v>
      </c>
      <c r="K842" s="14" t="str">
        <f>HYPERLINK("http://twitter.com/download/iphone","Twitter for iPhone")</f>
        <v>Twitter for iPhone</v>
      </c>
      <c r="L842" s="13">
        <v>79</v>
      </c>
      <c r="M842" s="13">
        <v>880</v>
      </c>
      <c r="N842" s="13">
        <v>2</v>
      </c>
      <c r="O842" s="15"/>
      <c r="P842" s="6">
        <v>40643.518541666665</v>
      </c>
      <c r="Q842" s="12"/>
      <c r="R842" s="17" t="s">
        <v>2913</v>
      </c>
      <c r="S842" s="12"/>
      <c r="T842" s="12"/>
      <c r="U842" s="10" t="str">
        <f>HYPERLINK("https://pbs.twimg.com/profile_images/2043715857/image.jpg","View")</f>
        <v>View</v>
      </c>
    </row>
    <row r="843" spans="1:21" ht="61.2">
      <c r="A843" s="6">
        <v>43421.516898148147</v>
      </c>
      <c r="B843" s="7" t="str">
        <f>HYPERLINK("https://twitter.com/voxnoticias_es","@voxnoticias_es")</f>
        <v>@voxnoticias_es</v>
      </c>
      <c r="C843" s="8" t="s">
        <v>234</v>
      </c>
      <c r="D843" s="9" t="s">
        <v>2915</v>
      </c>
      <c r="E843" s="10" t="str">
        <f>HYPERLINK("https://twitter.com/voxnoticias_es/status/1063754707049607169","1063754707049607169")</f>
        <v>1063754707049607169</v>
      </c>
      <c r="F843" s="12"/>
      <c r="G843" s="11" t="s">
        <v>2916</v>
      </c>
      <c r="H843" s="12"/>
      <c r="I843" s="13">
        <v>207</v>
      </c>
      <c r="J843" s="13">
        <v>336</v>
      </c>
      <c r="K843" s="14" t="str">
        <f>HYPERLINK("http://twitter.com/download/android","Twitter for Android")</f>
        <v>Twitter for Android</v>
      </c>
      <c r="L843" s="13">
        <v>19279</v>
      </c>
      <c r="M843" s="13">
        <v>2124</v>
      </c>
      <c r="N843" s="13">
        <v>136</v>
      </c>
      <c r="O843" s="15"/>
      <c r="P843" s="6">
        <v>41687.875428240739</v>
      </c>
      <c r="Q843" s="16" t="s">
        <v>238</v>
      </c>
      <c r="R843" s="17" t="s">
        <v>239</v>
      </c>
      <c r="S843" s="11" t="s">
        <v>240</v>
      </c>
      <c r="T843" s="12"/>
      <c r="U843" s="10" t="str">
        <f>HYPERLINK("https://pbs.twimg.com/profile_images/900432165195980801/-2-6PzuU.jpg","View")</f>
        <v>View</v>
      </c>
    </row>
    <row r="844" spans="1:21" ht="30.6">
      <c r="A844" s="6">
        <v>43421.513611111106</v>
      </c>
      <c r="B844" s="7" t="str">
        <f>HYPERLINK("https://twitter.com/amontillaromero","@amontillaromero")</f>
        <v>@amontillaromero</v>
      </c>
      <c r="C844" s="8" t="s">
        <v>2917</v>
      </c>
      <c r="D844" s="9" t="s">
        <v>2918</v>
      </c>
      <c r="E844" s="10" t="str">
        <f>HYPERLINK("https://twitter.com/amontillaromero/status/1063753517662445568","1063753517662445568")</f>
        <v>1063753517662445568</v>
      </c>
      <c r="F844" s="11" t="s">
        <v>2919</v>
      </c>
      <c r="G844" s="11" t="s">
        <v>2920</v>
      </c>
      <c r="H844" s="12"/>
      <c r="I844" s="13">
        <v>50</v>
      </c>
      <c r="J844" s="13">
        <v>118</v>
      </c>
      <c r="K844" s="14" t="str">
        <f>HYPERLINK("http://twitter.com/download/iphone","Twitter for iPhone")</f>
        <v>Twitter for iPhone</v>
      </c>
      <c r="L844" s="13">
        <v>2392</v>
      </c>
      <c r="M844" s="13">
        <v>1166</v>
      </c>
      <c r="N844" s="13">
        <v>28</v>
      </c>
      <c r="O844" s="15"/>
      <c r="P844" s="6">
        <v>40587.762395833335</v>
      </c>
      <c r="Q844" s="12"/>
      <c r="R844" s="17" t="s">
        <v>2921</v>
      </c>
      <c r="S844" s="12"/>
      <c r="T844" s="12"/>
      <c r="U844" s="10" t="str">
        <f>HYPERLINK("https://pbs.twimg.com/profile_images/678741213718167552/UgasLPwu.jpg","View")</f>
        <v>View</v>
      </c>
    </row>
    <row r="845" spans="1:21" ht="71.400000000000006">
      <c r="A845" s="6">
        <v>43421.510833333334</v>
      </c>
      <c r="B845" s="7" t="str">
        <f>HYPERLINK("https://twitter.com/Holmes_Beatriz","@Holmes_Beatriz")</f>
        <v>@Holmes_Beatriz</v>
      </c>
      <c r="C845" s="8" t="s">
        <v>2922</v>
      </c>
      <c r="D845" s="9" t="s">
        <v>2923</v>
      </c>
      <c r="E845" s="10" t="str">
        <f>HYPERLINK("https://twitter.com/Holmes_Beatriz/status/1063752510400339969","1063752510400339969")</f>
        <v>1063752510400339969</v>
      </c>
      <c r="F845" s="16" t="s">
        <v>2924</v>
      </c>
      <c r="G845" s="11" t="s">
        <v>2925</v>
      </c>
      <c r="H845" s="12"/>
      <c r="I845" s="13">
        <v>0</v>
      </c>
      <c r="J845" s="13">
        <v>0</v>
      </c>
      <c r="K845" s="14" t="str">
        <f t="shared" ref="K845:K847" si="257">HYPERLINK("http://twitter.com/download/android","Twitter for Android")</f>
        <v>Twitter for Android</v>
      </c>
      <c r="L845" s="13">
        <v>530</v>
      </c>
      <c r="M845" s="13">
        <v>915</v>
      </c>
      <c r="N845" s="13">
        <v>7</v>
      </c>
      <c r="O845" s="15"/>
      <c r="P845" s="6">
        <v>40919.510150462964</v>
      </c>
      <c r="Q845" s="16" t="s">
        <v>2926</v>
      </c>
      <c r="R845" s="17" t="s">
        <v>2927</v>
      </c>
      <c r="S845" s="12"/>
      <c r="T845" s="12"/>
      <c r="U845" s="10" t="str">
        <f>HYPERLINK("https://pbs.twimg.com/profile_images/1747744356/Holmes.jpg","View")</f>
        <v>View</v>
      </c>
    </row>
    <row r="846" spans="1:21" ht="51">
      <c r="A846" s="6">
        <v>43421.50503472222</v>
      </c>
      <c r="B846" s="7" t="str">
        <f>HYPERLINK("https://twitter.com/juanarolas","@juanarolas")</f>
        <v>@juanarolas</v>
      </c>
      <c r="C846" s="8" t="s">
        <v>395</v>
      </c>
      <c r="D846" s="9" t="s">
        <v>2928</v>
      </c>
      <c r="E846" s="10" t="str">
        <f>HYPERLINK("https://twitter.com/juanarolas/status/1063750407980281856","1063750407980281856")</f>
        <v>1063750407980281856</v>
      </c>
      <c r="F846" s="12"/>
      <c r="G846" s="11" t="s">
        <v>2929</v>
      </c>
      <c r="H846" s="12"/>
      <c r="I846" s="13">
        <v>0</v>
      </c>
      <c r="J846" s="13">
        <v>0</v>
      </c>
      <c r="K846" s="14" t="str">
        <f t="shared" si="257"/>
        <v>Twitter for Android</v>
      </c>
      <c r="L846" s="13">
        <v>211</v>
      </c>
      <c r="M846" s="13">
        <v>224</v>
      </c>
      <c r="N846" s="13">
        <v>3</v>
      </c>
      <c r="O846" s="15"/>
      <c r="P846" s="6">
        <v>40925.37259259259</v>
      </c>
      <c r="Q846" s="12"/>
      <c r="R846" s="21"/>
      <c r="S846" s="12"/>
      <c r="T846" s="12"/>
      <c r="U846" s="10" t="str">
        <f>HYPERLINK("https://pbs.twimg.com/profile_images/1024688570718711808/lT4S31DW.jpg","View")</f>
        <v>View</v>
      </c>
    </row>
    <row r="847" spans="1:21" ht="20.399999999999999">
      <c r="A847" s="6">
        <v>43421.504432870366</v>
      </c>
      <c r="B847" s="7" t="str">
        <f>HYPERLINK("https://twitter.com/JuanPii7","@JuanPii7")</f>
        <v>@JuanPii7</v>
      </c>
      <c r="C847" s="8" t="s">
        <v>2863</v>
      </c>
      <c r="D847" s="9" t="s">
        <v>2930</v>
      </c>
      <c r="E847" s="10" t="str">
        <f>HYPERLINK("https://twitter.com/JuanPii7/status/1063750188731371524","1063750188731371524")</f>
        <v>1063750188731371524</v>
      </c>
      <c r="F847" s="12"/>
      <c r="G847" s="11" t="s">
        <v>2931</v>
      </c>
      <c r="H847" s="12"/>
      <c r="I847" s="13">
        <v>8</v>
      </c>
      <c r="J847" s="13">
        <v>17</v>
      </c>
      <c r="K847" s="14" t="str">
        <f t="shared" si="257"/>
        <v>Twitter for Android</v>
      </c>
      <c r="L847" s="13">
        <v>216</v>
      </c>
      <c r="M847" s="13">
        <v>168</v>
      </c>
      <c r="N847" s="13">
        <v>20</v>
      </c>
      <c r="O847" s="15"/>
      <c r="P847" s="6">
        <v>41108.589004629626</v>
      </c>
      <c r="Q847" s="16" t="s">
        <v>1677</v>
      </c>
      <c r="R847" s="17" t="s">
        <v>2866</v>
      </c>
      <c r="S847" s="12"/>
      <c r="T847" s="12"/>
      <c r="U847" s="10" t="str">
        <f>HYPERLINK("https://pbs.twimg.com/profile_images/943500852236574720/Wq0kzOyT.jpg","View")</f>
        <v>View</v>
      </c>
    </row>
    <row r="848" spans="1:21" ht="30.6">
      <c r="A848" s="6">
        <v>43421.503206018519</v>
      </c>
      <c r="B848" s="7" t="str">
        <f>HYPERLINK("https://twitter.com/VOX_Albacete","@VOX_Albacete")</f>
        <v>@VOX_Albacete</v>
      </c>
      <c r="C848" s="8" t="s">
        <v>917</v>
      </c>
      <c r="D848" s="9" t="s">
        <v>2932</v>
      </c>
      <c r="E848" s="10" t="str">
        <f>HYPERLINK("https://twitter.com/VOX_Albacete/status/1063749744248479744","1063749744248479744")</f>
        <v>1063749744248479744</v>
      </c>
      <c r="F848" s="12"/>
      <c r="G848" s="11" t="s">
        <v>2933</v>
      </c>
      <c r="H848" s="12"/>
      <c r="I848" s="13">
        <v>14</v>
      </c>
      <c r="J848" s="13">
        <v>24</v>
      </c>
      <c r="K848" s="14" t="str">
        <f>HYPERLINK("http://twitter.com/download/iphone","Twitter for iPhone")</f>
        <v>Twitter for iPhone</v>
      </c>
      <c r="L848" s="13">
        <v>2205</v>
      </c>
      <c r="M848" s="13">
        <v>1852</v>
      </c>
      <c r="N848" s="13">
        <v>19</v>
      </c>
      <c r="O848" s="15"/>
      <c r="P848" s="6">
        <v>41706.999259259261</v>
      </c>
      <c r="Q848" s="16" t="s">
        <v>922</v>
      </c>
      <c r="R848" s="17" t="s">
        <v>923</v>
      </c>
      <c r="S848" s="11" t="s">
        <v>924</v>
      </c>
      <c r="T848" s="12"/>
      <c r="U848" s="10" t="str">
        <f>HYPERLINK("https://pbs.twimg.com/profile_images/772272127798087680/5T0wLc67.jpg","View")</f>
        <v>View</v>
      </c>
    </row>
    <row r="849" spans="1:21" ht="13.2">
      <c r="A849" s="6">
        <v>43421.500752314816</v>
      </c>
      <c r="B849" s="7" t="str">
        <f>HYPERLINK("https://twitter.com/dangarcar","@dangarcar")</f>
        <v>@dangarcar</v>
      </c>
      <c r="C849" s="8" t="s">
        <v>2934</v>
      </c>
      <c r="D849" s="9" t="s">
        <v>2935</v>
      </c>
      <c r="E849" s="10" t="str">
        <f>HYPERLINK("https://twitter.com/dangarcar/status/1063748855437643781","1063748855437643781")</f>
        <v>1063748855437643781</v>
      </c>
      <c r="F849" s="12"/>
      <c r="G849" s="11" t="s">
        <v>2936</v>
      </c>
      <c r="H849" s="12"/>
      <c r="I849" s="13">
        <v>1</v>
      </c>
      <c r="J849" s="13">
        <v>0</v>
      </c>
      <c r="K849" s="14" t="str">
        <f t="shared" ref="K849:K850" si="258">HYPERLINK("http://twitter.com/download/android","Twitter for Android")</f>
        <v>Twitter for Android</v>
      </c>
      <c r="L849" s="13">
        <v>497</v>
      </c>
      <c r="M849" s="13">
        <v>1891</v>
      </c>
      <c r="N849" s="13">
        <v>6</v>
      </c>
      <c r="O849" s="15"/>
      <c r="P849" s="6">
        <v>40717.843356481484</v>
      </c>
      <c r="Q849" s="16" t="s">
        <v>1677</v>
      </c>
      <c r="R849" s="17" t="s">
        <v>2937</v>
      </c>
      <c r="S849" s="12"/>
      <c r="T849" s="12"/>
      <c r="U849" s="10" t="str">
        <f>HYPERLINK("https://pbs.twimg.com/profile_images/2664115641/a84dea9684dc3f8ec513fad65e031700.jpeg","View")</f>
        <v>View</v>
      </c>
    </row>
    <row r="850" spans="1:21" ht="91.8">
      <c r="A850" s="6">
        <v>43421.499259259261</v>
      </c>
      <c r="B850" s="7" t="str">
        <f>HYPERLINK("https://twitter.com/Santi_ABASCAL","@Santi_ABASCAL")</f>
        <v>@Santi_ABASCAL</v>
      </c>
      <c r="C850" s="8" t="s">
        <v>182</v>
      </c>
      <c r="D850" s="9" t="s">
        <v>3493</v>
      </c>
      <c r="E850" s="10" t="str">
        <f>HYPERLINK("https://twitter.com/Santi_ABASCAL/status/1063748316305985542","1063748316305985542")</f>
        <v>1063748316305985542</v>
      </c>
      <c r="F850" s="16" t="s">
        <v>2757</v>
      </c>
      <c r="G850" s="12"/>
      <c r="H850" s="12"/>
      <c r="I850" s="13">
        <v>1598</v>
      </c>
      <c r="J850" s="13">
        <v>3174</v>
      </c>
      <c r="K850" s="14" t="str">
        <f t="shared" si="258"/>
        <v>Twitter for Android</v>
      </c>
      <c r="L850" s="13">
        <v>117602</v>
      </c>
      <c r="M850" s="13">
        <v>3896</v>
      </c>
      <c r="N850" s="13">
        <v>915</v>
      </c>
      <c r="O850" s="23" t="s">
        <v>186</v>
      </c>
      <c r="P850" s="6">
        <v>40606.716446759259</v>
      </c>
      <c r="Q850" s="16" t="s">
        <v>188</v>
      </c>
      <c r="R850" s="17" t="s">
        <v>189</v>
      </c>
      <c r="S850" s="11" t="s">
        <v>190</v>
      </c>
      <c r="T850" s="12"/>
      <c r="U850" s="10" t="str">
        <f>HYPERLINK("https://pbs.twimg.com/profile_images/1010488787686879232/2CnqYKlD.jpg","View")</f>
        <v>View</v>
      </c>
    </row>
    <row r="851" spans="1:21" ht="30.6">
      <c r="A851" s="6">
        <v>43421.498229166667</v>
      </c>
      <c r="B851" s="7" t="str">
        <f>HYPERLINK("https://twitter.com/amontillaromero","@amontillaromero")</f>
        <v>@amontillaromero</v>
      </c>
      <c r="C851" s="8" t="s">
        <v>2917</v>
      </c>
      <c r="D851" s="9" t="s">
        <v>2938</v>
      </c>
      <c r="E851" s="10" t="str">
        <f>HYPERLINK("https://twitter.com/amontillaromero/status/1063747940999663616","1063747940999663616")</f>
        <v>1063747940999663616</v>
      </c>
      <c r="F851" s="11" t="s">
        <v>2919</v>
      </c>
      <c r="G851" s="11" t="s">
        <v>2939</v>
      </c>
      <c r="H851" s="12"/>
      <c r="I851" s="13">
        <v>55</v>
      </c>
      <c r="J851" s="13">
        <v>172</v>
      </c>
      <c r="K851" s="14" t="str">
        <f>HYPERLINK("http://twitter.com/download/iphone","Twitter for iPhone")</f>
        <v>Twitter for iPhone</v>
      </c>
      <c r="L851" s="13">
        <v>2392</v>
      </c>
      <c r="M851" s="13">
        <v>1166</v>
      </c>
      <c r="N851" s="13">
        <v>28</v>
      </c>
      <c r="O851" s="15"/>
      <c r="P851" s="6">
        <v>40587.762395833335</v>
      </c>
      <c r="Q851" s="12"/>
      <c r="R851" s="17" t="s">
        <v>2921</v>
      </c>
      <c r="S851" s="12"/>
      <c r="T851" s="12"/>
      <c r="U851" s="10" t="str">
        <f>HYPERLINK("https://pbs.twimg.com/profile_images/678741213718167552/UgasLPwu.jpg","View")</f>
        <v>View</v>
      </c>
    </row>
    <row r="852" spans="1:21" ht="51">
      <c r="A852" s="6">
        <v>43421.492766203708</v>
      </c>
      <c r="B852" s="7" t="str">
        <f>HYPERLINK("https://twitter.com/GBCLopi","@GBCLopi")</f>
        <v>@GBCLopi</v>
      </c>
      <c r="C852" s="8" t="s">
        <v>3500</v>
      </c>
      <c r="D852" s="9" t="s">
        <v>3501</v>
      </c>
      <c r="E852" s="10" t="str">
        <f>HYPERLINK("https://twitter.com/GBCLopi/status/1063745961787314177","1063745961787314177")</f>
        <v>1063745961787314177</v>
      </c>
      <c r="F852" s="12"/>
      <c r="G852" s="12"/>
      <c r="H852" s="12"/>
      <c r="I852" s="13">
        <v>0</v>
      </c>
      <c r="J852" s="13">
        <v>5</v>
      </c>
      <c r="K852" s="14" t="str">
        <f>HYPERLINK("http://twitter.com","Twitter Web Client")</f>
        <v>Twitter Web Client</v>
      </c>
      <c r="L852" s="13">
        <v>296</v>
      </c>
      <c r="M852" s="13">
        <v>264</v>
      </c>
      <c r="N852" s="13">
        <v>8</v>
      </c>
      <c r="O852" s="15"/>
      <c r="P852" s="6">
        <v>40572.538761574076</v>
      </c>
      <c r="Q852" s="16" t="s">
        <v>3504</v>
      </c>
      <c r="R852" s="17" t="s">
        <v>3505</v>
      </c>
      <c r="S852" s="12"/>
      <c r="T852" s="12"/>
      <c r="U852" s="10" t="str">
        <f>HYPERLINK("https://pbs.twimg.com/profile_images/378800000553609082/7a07f85e9e59c55f89ea1b801b061508.jpeg","View")</f>
        <v>View</v>
      </c>
    </row>
    <row r="853" spans="1:21" ht="30.6">
      <c r="A853" s="6">
        <v>43421.48646990741</v>
      </c>
      <c r="B853" s="7" t="str">
        <f>HYPERLINK("https://twitter.com/amontillaromero","@amontillaromero")</f>
        <v>@amontillaromero</v>
      </c>
      <c r="C853" s="8" t="s">
        <v>2917</v>
      </c>
      <c r="D853" s="9" t="s">
        <v>2940</v>
      </c>
      <c r="E853" s="10" t="str">
        <f>HYPERLINK("https://twitter.com/amontillaromero/status/1063743679674896384","1063743679674896384")</f>
        <v>1063743679674896384</v>
      </c>
      <c r="F853" s="11" t="s">
        <v>2941</v>
      </c>
      <c r="G853" s="11" t="s">
        <v>2942</v>
      </c>
      <c r="H853" s="12"/>
      <c r="I853" s="13">
        <v>0</v>
      </c>
      <c r="J853" s="13">
        <v>1</v>
      </c>
      <c r="K853" s="14" t="str">
        <f>HYPERLINK("http://twitter.com/download/iphone","Twitter for iPhone")</f>
        <v>Twitter for iPhone</v>
      </c>
      <c r="L853" s="13">
        <v>2392</v>
      </c>
      <c r="M853" s="13">
        <v>1166</v>
      </c>
      <c r="N853" s="13">
        <v>28</v>
      </c>
      <c r="O853" s="15"/>
      <c r="P853" s="6">
        <v>40587.762395833335</v>
      </c>
      <c r="Q853" s="12"/>
      <c r="R853" s="17" t="s">
        <v>2921</v>
      </c>
      <c r="S853" s="12"/>
      <c r="T853" s="12"/>
      <c r="U853" s="10" t="str">
        <f>HYPERLINK("https://pbs.twimg.com/profile_images/678741213718167552/UgasLPwu.jpg","View")</f>
        <v>View</v>
      </c>
    </row>
    <row r="854" spans="1:21" ht="51">
      <c r="A854" s="6">
        <v>43421.481851851851</v>
      </c>
      <c r="B854" s="7" t="str">
        <f>HYPERLINK("https://twitter.com/canasporespana","@canasporespana")</f>
        <v>@canasporespana</v>
      </c>
      <c r="C854" s="8" t="s">
        <v>2720</v>
      </c>
      <c r="D854" s="9" t="s">
        <v>2721</v>
      </c>
      <c r="E854" s="10" t="str">
        <f>HYPERLINK("https://twitter.com/canasporespana/status/1063742005845663749","1063742005845663749")</f>
        <v>1063742005845663749</v>
      </c>
      <c r="F854" s="11" t="s">
        <v>1755</v>
      </c>
      <c r="G854" s="12"/>
      <c r="H854" s="12"/>
      <c r="I854" s="13">
        <v>12</v>
      </c>
      <c r="J854" s="13">
        <v>20</v>
      </c>
      <c r="K854" s="14" t="str">
        <f t="shared" ref="K854:K856" si="259">HYPERLINK("http://twitter.com/download/android","Twitter for Android")</f>
        <v>Twitter for Android</v>
      </c>
      <c r="L854" s="13">
        <v>6219</v>
      </c>
      <c r="M854" s="13">
        <v>266</v>
      </c>
      <c r="N854" s="13">
        <v>40</v>
      </c>
      <c r="O854" s="15"/>
      <c r="P854" s="6">
        <v>42712.424108796295</v>
      </c>
      <c r="Q854" s="16" t="s">
        <v>66</v>
      </c>
      <c r="R854" s="17" t="s">
        <v>2723</v>
      </c>
      <c r="S854" s="11" t="s">
        <v>2724</v>
      </c>
      <c r="T854" s="12"/>
      <c r="U854" s="10" t="str">
        <f>HYPERLINK("https://pbs.twimg.com/profile_images/1035610115146170368/_VF2Ge_a.jpg","View")</f>
        <v>View</v>
      </c>
    </row>
    <row r="855" spans="1:21" ht="40.799999999999997">
      <c r="A855" s="6">
        <v>43421.477800925924</v>
      </c>
      <c r="B855" s="7" t="str">
        <f>HYPERLINK("https://twitter.com/ClavedeSole","@ClavedeSole")</f>
        <v>@ClavedeSole</v>
      </c>
      <c r="C855" s="8" t="s">
        <v>2943</v>
      </c>
      <c r="D855" s="9" t="s">
        <v>2944</v>
      </c>
      <c r="E855" s="10" t="str">
        <f>HYPERLINK("https://twitter.com/ClavedeSole/status/1063740539932168192","1063740539932168192")</f>
        <v>1063740539932168192</v>
      </c>
      <c r="F855" s="11" t="s">
        <v>2945</v>
      </c>
      <c r="G855" s="12"/>
      <c r="H855" s="12"/>
      <c r="I855" s="13">
        <v>5</v>
      </c>
      <c r="J855" s="13">
        <v>4</v>
      </c>
      <c r="K855" s="14" t="str">
        <f t="shared" si="259"/>
        <v>Twitter for Android</v>
      </c>
      <c r="L855" s="13">
        <v>4858</v>
      </c>
      <c r="M855" s="13">
        <v>4735</v>
      </c>
      <c r="N855" s="13">
        <v>116</v>
      </c>
      <c r="O855" s="15"/>
      <c r="P855" s="6">
        <v>40455.861018518517</v>
      </c>
      <c r="Q855" s="12"/>
      <c r="R855" s="17" t="s">
        <v>2946</v>
      </c>
      <c r="S855" s="12"/>
      <c r="T855" s="12"/>
      <c r="U855" s="10" t="str">
        <f>HYPERLINK("https://pbs.twimg.com/profile_images/1058461358583414789/q4g_LxDz.jpg","View")</f>
        <v>View</v>
      </c>
    </row>
    <row r="856" spans="1:21" ht="20.399999999999999">
      <c r="A856" s="6">
        <v>43421.475127314814</v>
      </c>
      <c r="B856" s="7" t="str">
        <f>HYPERLINK("https://twitter.com/Samukxk","@Samukxk")</f>
        <v>@Samukxk</v>
      </c>
      <c r="C856" s="8" t="s">
        <v>2949</v>
      </c>
      <c r="D856" s="9" t="s">
        <v>2950</v>
      </c>
      <c r="E856" s="10" t="str">
        <f>HYPERLINK("https://twitter.com/Samukxk/status/1063739570246860800","1063739570246860800")</f>
        <v>1063739570246860800</v>
      </c>
      <c r="F856" s="12"/>
      <c r="G856" s="11" t="s">
        <v>2951</v>
      </c>
      <c r="H856" s="12"/>
      <c r="I856" s="13">
        <v>1</v>
      </c>
      <c r="J856" s="13">
        <v>2</v>
      </c>
      <c r="K856" s="14" t="str">
        <f t="shared" si="259"/>
        <v>Twitter for Android</v>
      </c>
      <c r="L856" s="13">
        <v>34</v>
      </c>
      <c r="M856" s="13">
        <v>197</v>
      </c>
      <c r="N856" s="13">
        <v>0</v>
      </c>
      <c r="O856" s="15"/>
      <c r="P856" s="6">
        <v>42924.822592592594</v>
      </c>
      <c r="Q856" s="16" t="s">
        <v>66</v>
      </c>
      <c r="R856" s="28" t="s">
        <v>2953</v>
      </c>
      <c r="S856" s="11" t="s">
        <v>2953</v>
      </c>
      <c r="T856" s="12"/>
      <c r="U856" s="10" t="str">
        <f>HYPERLINK("https://pbs.twimg.com/profile_images/1049575866211205121/8ZIAngX6.jpg","View")</f>
        <v>View</v>
      </c>
    </row>
    <row r="857" spans="1:21" ht="40.799999999999997">
      <c r="A857" s="6">
        <v>43421.471909722226</v>
      </c>
      <c r="B857" s="7" t="str">
        <f>HYPERLINK("https://twitter.com/haba_tar","@haba_tar")</f>
        <v>@haba_tar</v>
      </c>
      <c r="C857" s="8" t="s">
        <v>2955</v>
      </c>
      <c r="D857" s="9" t="s">
        <v>2956</v>
      </c>
      <c r="E857" s="10" t="str">
        <f>HYPERLINK("https://twitter.com/haba_tar/status/1063738404662325248","1063738404662325248")</f>
        <v>1063738404662325248</v>
      </c>
      <c r="F857" s="16" t="s">
        <v>2958</v>
      </c>
      <c r="G857" s="12"/>
      <c r="H857" s="12"/>
      <c r="I857" s="13">
        <v>0</v>
      </c>
      <c r="J857" s="13">
        <v>0</v>
      </c>
      <c r="K857" s="14" t="str">
        <f>HYPERLINK("https://mobile.twitter.com","Twitter Lite")</f>
        <v>Twitter Lite</v>
      </c>
      <c r="L857" s="13">
        <v>2120</v>
      </c>
      <c r="M857" s="13">
        <v>2384</v>
      </c>
      <c r="N857" s="13">
        <v>17</v>
      </c>
      <c r="O857" s="15"/>
      <c r="P857" s="6">
        <v>41986.027986111112</v>
      </c>
      <c r="Q857" s="16" t="s">
        <v>698</v>
      </c>
      <c r="R857" s="17" t="s">
        <v>2961</v>
      </c>
      <c r="S857" s="12"/>
      <c r="T857" s="12"/>
      <c r="U857" s="10" t="str">
        <f>HYPERLINK("https://pbs.twimg.com/profile_images/744252301892784128/O5VgANzt.jpg","View")</f>
        <v>View</v>
      </c>
    </row>
    <row r="858" spans="1:21" ht="30.6">
      <c r="A858" s="6">
        <v>43421.471365740741</v>
      </c>
      <c r="B858" s="7" t="str">
        <f>HYPERLINK("https://twitter.com/amontillaromero","@amontillaromero")</f>
        <v>@amontillaromero</v>
      </c>
      <c r="C858" s="8" t="s">
        <v>2917</v>
      </c>
      <c r="D858" s="9" t="s">
        <v>2962</v>
      </c>
      <c r="E858" s="10" t="str">
        <f>HYPERLINK("https://twitter.com/amontillaromero/status/1063738207714635777","1063738207714635777")</f>
        <v>1063738207714635777</v>
      </c>
      <c r="F858" s="11" t="s">
        <v>2963</v>
      </c>
      <c r="G858" s="11" t="s">
        <v>2964</v>
      </c>
      <c r="H858" s="12"/>
      <c r="I858" s="13">
        <v>0</v>
      </c>
      <c r="J858" s="13">
        <v>2</v>
      </c>
      <c r="K858" s="14" t="str">
        <f>HYPERLINK("http://twitter.com/download/iphone","Twitter for iPhone")</f>
        <v>Twitter for iPhone</v>
      </c>
      <c r="L858" s="13">
        <v>2392</v>
      </c>
      <c r="M858" s="13">
        <v>1166</v>
      </c>
      <c r="N858" s="13">
        <v>28</v>
      </c>
      <c r="O858" s="15"/>
      <c r="P858" s="6">
        <v>40587.762395833335</v>
      </c>
      <c r="Q858" s="12"/>
      <c r="R858" s="17" t="s">
        <v>2921</v>
      </c>
      <c r="S858" s="12"/>
      <c r="T858" s="12"/>
      <c r="U858" s="10" t="str">
        <f>HYPERLINK("https://pbs.twimg.com/profile_images/678741213718167552/UgasLPwu.jpg","View")</f>
        <v>View</v>
      </c>
    </row>
    <row r="859" spans="1:21" ht="71.400000000000006">
      <c r="A859" s="6">
        <v>43421.467627314814</v>
      </c>
      <c r="B859" s="7" t="str">
        <f>HYPERLINK("https://twitter.com/luisllzz","@luisllzz")</f>
        <v>@luisllzz</v>
      </c>
      <c r="C859" s="8" t="s">
        <v>2965</v>
      </c>
      <c r="D859" s="9" t="s">
        <v>2966</v>
      </c>
      <c r="E859" s="10" t="str">
        <f>HYPERLINK("https://twitter.com/luisllzz/status/1063736853671624704","1063736853671624704")</f>
        <v>1063736853671624704</v>
      </c>
      <c r="F859" s="16" t="s">
        <v>2548</v>
      </c>
      <c r="G859" s="12"/>
      <c r="H859" s="12"/>
      <c r="I859" s="13">
        <v>0</v>
      </c>
      <c r="J859" s="13">
        <v>0</v>
      </c>
      <c r="K859" s="14" t="str">
        <f t="shared" ref="K859:K860" si="260">HYPERLINK("http://twitter.com/download/android","Twitter for Android")</f>
        <v>Twitter for Android</v>
      </c>
      <c r="L859" s="13">
        <v>396</v>
      </c>
      <c r="M859" s="13">
        <v>449</v>
      </c>
      <c r="N859" s="13">
        <v>0</v>
      </c>
      <c r="O859" s="15"/>
      <c r="P859" s="6">
        <v>42681.407650462963</v>
      </c>
      <c r="Q859" s="16" t="s">
        <v>66</v>
      </c>
      <c r="R859" s="17" t="s">
        <v>2967</v>
      </c>
      <c r="S859" s="12"/>
      <c r="T859" s="12"/>
      <c r="U859" s="10" t="str">
        <f>HYPERLINK("https://pbs.twimg.com/profile_images/1001772071024721920/NpV230z9.jpg","View")</f>
        <v>View</v>
      </c>
    </row>
    <row r="860" spans="1:21" ht="20.399999999999999">
      <c r="A860" s="6">
        <v>43421.463310185187</v>
      </c>
      <c r="B860" s="7" t="str">
        <f>HYPERLINK("https://twitter.com/Levantate","@Levantate")</f>
        <v>@Levantate</v>
      </c>
      <c r="C860" s="8" t="s">
        <v>2705</v>
      </c>
      <c r="D860" s="9" t="s">
        <v>2969</v>
      </c>
      <c r="E860" s="10" t="str">
        <f>HYPERLINK("https://twitter.com/Levantate/status/1063735287820558337","1063735287820558337")</f>
        <v>1063735287820558337</v>
      </c>
      <c r="F860" s="11" t="s">
        <v>2970</v>
      </c>
      <c r="G860" s="12"/>
      <c r="H860" s="12"/>
      <c r="I860" s="13">
        <v>0</v>
      </c>
      <c r="J860" s="13">
        <v>0</v>
      </c>
      <c r="K860" s="14" t="str">
        <f t="shared" si="260"/>
        <v>Twitter for Android</v>
      </c>
      <c r="L860" s="13">
        <v>842</v>
      </c>
      <c r="M860" s="13">
        <v>1600</v>
      </c>
      <c r="N860" s="13">
        <v>10</v>
      </c>
      <c r="O860" s="15"/>
      <c r="P860" s="6">
        <v>40921.424004629633</v>
      </c>
      <c r="Q860" s="16" t="s">
        <v>66</v>
      </c>
      <c r="R860" s="17" t="s">
        <v>2711</v>
      </c>
      <c r="S860" s="11" t="s">
        <v>2712</v>
      </c>
      <c r="T860" s="12"/>
      <c r="U860" s="10" t="str">
        <f>HYPERLINK("https://pbs.twimg.com/profile_images/1751766780/images.jpeg","View")</f>
        <v>View</v>
      </c>
    </row>
    <row r="861" spans="1:21" ht="102">
      <c r="A861" s="6">
        <v>43421.45385416667</v>
      </c>
      <c r="B861" s="7" t="str">
        <f>HYPERLINK("https://twitter.com/Angel_Esojo","@Angel_Esojo")</f>
        <v>@Angel_Esojo</v>
      </c>
      <c r="C861" s="8" t="s">
        <v>792</v>
      </c>
      <c r="D861" s="9" t="s">
        <v>2974</v>
      </c>
      <c r="E861" s="10" t="str">
        <f>HYPERLINK("https://twitter.com/Angel_Esojo/status/1063731861632020481","1063731861632020481")</f>
        <v>1063731861632020481</v>
      </c>
      <c r="F861" s="11" t="s">
        <v>2977</v>
      </c>
      <c r="G861" s="11" t="s">
        <v>2980</v>
      </c>
      <c r="H861" s="12"/>
      <c r="I861" s="13">
        <v>0</v>
      </c>
      <c r="J861" s="13">
        <v>0</v>
      </c>
      <c r="K861" s="14" t="str">
        <f>HYPERLINK("http://twitter.com/download/iphone","Twitter for iPhone")</f>
        <v>Twitter for iPhone</v>
      </c>
      <c r="L861" s="13">
        <v>3600</v>
      </c>
      <c r="M861" s="13">
        <v>790</v>
      </c>
      <c r="N861" s="13">
        <v>102</v>
      </c>
      <c r="O861" s="15"/>
      <c r="P861" s="6">
        <v>40814.799351851849</v>
      </c>
      <c r="Q861" s="16" t="s">
        <v>795</v>
      </c>
      <c r="R861" s="17" t="s">
        <v>796</v>
      </c>
      <c r="S861" s="11" t="s">
        <v>797</v>
      </c>
      <c r="T861" s="12"/>
      <c r="U861" s="10" t="str">
        <f>HYPERLINK("https://pbs.twimg.com/profile_images/988732473734565888/27MAMcVF.jpg","View")</f>
        <v>View</v>
      </c>
    </row>
    <row r="862" spans="1:21" ht="81.599999999999994">
      <c r="A862" s="6">
        <v>43421.43950231481</v>
      </c>
      <c r="B862" s="7" t="str">
        <f>HYPERLINK("https://twitter.com/PacoBERPEI","@PacoBERPEI")</f>
        <v>@PacoBERPEI</v>
      </c>
      <c r="C862" s="8" t="s">
        <v>2982</v>
      </c>
      <c r="D862" s="9" t="s">
        <v>2983</v>
      </c>
      <c r="E862" s="10" t="str">
        <f>HYPERLINK("https://twitter.com/PacoBERPEI/status/1063726658694328320","1063726658694328320")</f>
        <v>1063726658694328320</v>
      </c>
      <c r="F862" s="11" t="s">
        <v>2654</v>
      </c>
      <c r="G862" s="12"/>
      <c r="H862" s="12"/>
      <c r="I862" s="13">
        <v>0</v>
      </c>
      <c r="J862" s="13">
        <v>0</v>
      </c>
      <c r="K862" s="14" t="str">
        <f>HYPERLINK("http://twitter.com/download/android","Twitter for Android")</f>
        <v>Twitter for Android</v>
      </c>
      <c r="L862" s="13">
        <v>266</v>
      </c>
      <c r="M862" s="13">
        <v>295</v>
      </c>
      <c r="N862" s="13">
        <v>0</v>
      </c>
      <c r="O862" s="15"/>
      <c r="P862" s="6">
        <v>43025.39335648148</v>
      </c>
      <c r="Q862" s="16" t="s">
        <v>2985</v>
      </c>
      <c r="R862" s="17" t="s">
        <v>2986</v>
      </c>
      <c r="S862" s="12"/>
      <c r="T862" s="12"/>
      <c r="U862" s="10" t="str">
        <f>HYPERLINK("https://pbs.twimg.com/profile_images/920191341203742720/Q48t5n1q.jpg","View")</f>
        <v>View</v>
      </c>
    </row>
    <row r="863" spans="1:21" ht="30.6">
      <c r="A863" s="6">
        <v>43421.437731481477</v>
      </c>
      <c r="B863" s="7" t="str">
        <f>HYPERLINK("https://twitter.com/AlquimistaAst","@AlquimistaAst")</f>
        <v>@AlquimistaAst</v>
      </c>
      <c r="C863" s="8" t="s">
        <v>3542</v>
      </c>
      <c r="D863" s="9" t="s">
        <v>3543</v>
      </c>
      <c r="E863" s="10" t="str">
        <f>HYPERLINK("https://twitter.com/AlquimistaAst/status/1063726018391879680","1063726018391879680")</f>
        <v>1063726018391879680</v>
      </c>
      <c r="F863" s="12"/>
      <c r="G863" s="11" t="s">
        <v>3545</v>
      </c>
      <c r="H863" s="12"/>
      <c r="I863" s="13">
        <v>2</v>
      </c>
      <c r="J863" s="13">
        <v>2</v>
      </c>
      <c r="K863" s="14" t="str">
        <f>HYPERLINK("http://twitter.com/download/iphone","Twitter for iPhone")</f>
        <v>Twitter for iPhone</v>
      </c>
      <c r="L863" s="13">
        <v>14509</v>
      </c>
      <c r="M863" s="13">
        <v>15305</v>
      </c>
      <c r="N863" s="13">
        <v>54</v>
      </c>
      <c r="O863" s="15"/>
      <c r="P863" s="6">
        <v>42112.907870370371</v>
      </c>
      <c r="Q863" s="16" t="s">
        <v>3546</v>
      </c>
      <c r="R863" s="17" t="s">
        <v>3547</v>
      </c>
      <c r="S863" s="11" t="s">
        <v>3548</v>
      </c>
      <c r="T863" s="12"/>
      <c r="U863" s="10" t="str">
        <f>HYPERLINK("https://pbs.twimg.com/profile_images/1050665509111312384/7wxoiHuT.jpg","View")</f>
        <v>View</v>
      </c>
    </row>
    <row r="864" spans="1:21" ht="91.8">
      <c r="A864" s="6">
        <v>43421.432442129633</v>
      </c>
      <c r="B864" s="7" t="str">
        <f>HYPERLINK("https://twitter.com/angusticlavio","@angusticlavio")</f>
        <v>@angusticlavio</v>
      </c>
      <c r="C864" s="8" t="s">
        <v>2987</v>
      </c>
      <c r="D864" s="9" t="s">
        <v>2988</v>
      </c>
      <c r="E864" s="10" t="str">
        <f>HYPERLINK("https://twitter.com/angusticlavio/status/1063724100277940224","1063724100277940224")</f>
        <v>1063724100277940224</v>
      </c>
      <c r="F864" s="11" t="s">
        <v>2295</v>
      </c>
      <c r="G864" s="11" t="s">
        <v>2296</v>
      </c>
      <c r="H864" s="12"/>
      <c r="I864" s="13">
        <v>1</v>
      </c>
      <c r="J864" s="13">
        <v>1</v>
      </c>
      <c r="K864" s="14" t="str">
        <f t="shared" ref="K864:K865" si="261">HYPERLINK("http://twitter.com/download/android","Twitter for Android")</f>
        <v>Twitter for Android</v>
      </c>
      <c r="L864" s="13">
        <v>1756</v>
      </c>
      <c r="M864" s="13">
        <v>1391</v>
      </c>
      <c r="N864" s="13">
        <v>13</v>
      </c>
      <c r="O864" s="15"/>
      <c r="P864" s="6">
        <v>42643.645057870366</v>
      </c>
      <c r="Q864" s="16" t="s">
        <v>644</v>
      </c>
      <c r="R864" s="17" t="s">
        <v>2989</v>
      </c>
      <c r="S864" s="12"/>
      <c r="T864" s="12"/>
      <c r="U864" s="10" t="str">
        <f>HYPERLINK("https://pbs.twimg.com/profile_images/791614393809264640/cS_kY2tw.jpg","View")</f>
        <v>View</v>
      </c>
    </row>
    <row r="865" spans="1:21" ht="71.400000000000006">
      <c r="A865" s="6">
        <v>43421.419016203705</v>
      </c>
      <c r="B865" s="7" t="str">
        <f>HYPERLINK("https://twitter.com/franchescorubio","@franchescorubio")</f>
        <v>@franchescorubio</v>
      </c>
      <c r="C865" s="8" t="s">
        <v>2990</v>
      </c>
      <c r="D865" s="9" t="s">
        <v>2991</v>
      </c>
      <c r="E865" s="10" t="str">
        <f>HYPERLINK("https://twitter.com/franchescorubio/status/1063719235401277441","1063719235401277441")</f>
        <v>1063719235401277441</v>
      </c>
      <c r="F865" s="11" t="s">
        <v>2992</v>
      </c>
      <c r="G865" s="11" t="s">
        <v>2993</v>
      </c>
      <c r="H865" s="12"/>
      <c r="I865" s="13">
        <v>0</v>
      </c>
      <c r="J865" s="13">
        <v>0</v>
      </c>
      <c r="K865" s="14" t="str">
        <f t="shared" si="261"/>
        <v>Twitter for Android</v>
      </c>
      <c r="L865" s="13">
        <v>483</v>
      </c>
      <c r="M865" s="13">
        <v>657</v>
      </c>
      <c r="N865" s="13">
        <v>7</v>
      </c>
      <c r="O865" s="15"/>
      <c r="P865" s="6">
        <v>40766.73060185185</v>
      </c>
      <c r="Q865" s="16" t="s">
        <v>2126</v>
      </c>
      <c r="R865" s="17" t="s">
        <v>2994</v>
      </c>
      <c r="S865" s="12"/>
      <c r="T865" s="12"/>
      <c r="U865" s="10" t="str">
        <f>HYPERLINK("https://pbs.twimg.com/profile_images/1058781092541538306/ilQPybYX.jpg","View")</f>
        <v>View</v>
      </c>
    </row>
    <row r="866" spans="1:21" ht="61.2">
      <c r="A866" s="6">
        <v>43421.410648148143</v>
      </c>
      <c r="B866" s="7" t="str">
        <f>HYPERLINK("https://twitter.com/ConsumidorMLG","@ConsumidorMLG")</f>
        <v>@ConsumidorMLG</v>
      </c>
      <c r="C866" s="8" t="s">
        <v>2995</v>
      </c>
      <c r="D866" s="9" t="s">
        <v>2996</v>
      </c>
      <c r="E866" s="10" t="str">
        <f>HYPERLINK("https://twitter.com/ConsumidorMLG/status/1063716204853059584","1063716204853059584")</f>
        <v>1063716204853059584</v>
      </c>
      <c r="F866" s="12"/>
      <c r="G866" s="11" t="s">
        <v>2997</v>
      </c>
      <c r="H866" s="12"/>
      <c r="I866" s="13">
        <v>16</v>
      </c>
      <c r="J866" s="13">
        <v>16</v>
      </c>
      <c r="K866" s="14" t="str">
        <f>HYPERLINK("http://twitter.com/download/iphone","Twitter for iPhone")</f>
        <v>Twitter for iPhone</v>
      </c>
      <c r="L866" s="13">
        <v>174</v>
      </c>
      <c r="M866" s="13">
        <v>1028</v>
      </c>
      <c r="N866" s="13">
        <v>0</v>
      </c>
      <c r="O866" s="15"/>
      <c r="P866" s="6">
        <v>43273.609398148154</v>
      </c>
      <c r="Q866" s="16" t="s">
        <v>66</v>
      </c>
      <c r="R866" s="17" t="s">
        <v>3000</v>
      </c>
      <c r="S866" s="12"/>
      <c r="T866" s="12"/>
      <c r="U866" s="10" t="str">
        <f>HYPERLINK("https://pbs.twimg.com/profile_images/1010168196610035713/Tc_qRJfl.jpg","View")</f>
        <v>View</v>
      </c>
    </row>
    <row r="867" spans="1:21" ht="40.799999999999997">
      <c r="A867" s="6">
        <v>43421.409351851849</v>
      </c>
      <c r="B867" s="7" t="str">
        <f>HYPERLINK("https://twitter.com/ACaballero2018","@ACaballero2018")</f>
        <v>@ACaballero2018</v>
      </c>
      <c r="C867" s="8" t="s">
        <v>3004</v>
      </c>
      <c r="D867" s="9" t="s">
        <v>3005</v>
      </c>
      <c r="E867" s="10" t="str">
        <f>HYPERLINK("https://twitter.com/ACaballero2018/status/1063715733706850304","1063715733706850304")</f>
        <v>1063715733706850304</v>
      </c>
      <c r="F867" s="16" t="s">
        <v>3006</v>
      </c>
      <c r="G867" s="11" t="s">
        <v>3007</v>
      </c>
      <c r="H867" s="12"/>
      <c r="I867" s="13">
        <v>0</v>
      </c>
      <c r="J867" s="13">
        <v>0</v>
      </c>
      <c r="K867" s="14" t="str">
        <f t="shared" ref="K867:K868" si="262">HYPERLINK("http://twitter.com/download/android","Twitter for Android")</f>
        <v>Twitter for Android</v>
      </c>
      <c r="L867" s="13">
        <v>73</v>
      </c>
      <c r="M867" s="13">
        <v>122</v>
      </c>
      <c r="N867" s="13">
        <v>4</v>
      </c>
      <c r="O867" s="15"/>
      <c r="P867" s="6">
        <v>43358.742372685185</v>
      </c>
      <c r="Q867" s="16" t="s">
        <v>3008</v>
      </c>
      <c r="R867" s="17" t="s">
        <v>3009</v>
      </c>
      <c r="S867" s="12"/>
      <c r="T867" s="12"/>
      <c r="U867" s="10" t="str">
        <f>HYPERLINK("https://pbs.twimg.com/profile_images/1040992487601582081/v1GN1mo1.jpg","View")</f>
        <v>View</v>
      </c>
    </row>
    <row r="868" spans="1:21" ht="40.799999999999997">
      <c r="A868" s="6">
        <v>43421.404421296298</v>
      </c>
      <c r="B868" s="7" t="str">
        <f>HYPERLINK("https://twitter.com/frannunesdp","@frannunesdp")</f>
        <v>@frannunesdp</v>
      </c>
      <c r="C868" s="8" t="s">
        <v>3010</v>
      </c>
      <c r="D868" s="9" t="s">
        <v>3011</v>
      </c>
      <c r="E868" s="10" t="str">
        <f>HYPERLINK("https://twitter.com/frannunesdp/status/1063713945507241984","1063713945507241984")</f>
        <v>1063713945507241984</v>
      </c>
      <c r="F868" s="12"/>
      <c r="G868" s="11" t="s">
        <v>3012</v>
      </c>
      <c r="H868" s="12"/>
      <c r="I868" s="13">
        <v>10</v>
      </c>
      <c r="J868" s="13">
        <v>9</v>
      </c>
      <c r="K868" s="14" t="str">
        <f t="shared" si="262"/>
        <v>Twitter for Android</v>
      </c>
      <c r="L868" s="13">
        <v>20433</v>
      </c>
      <c r="M868" s="13">
        <v>13363</v>
      </c>
      <c r="N868" s="13">
        <v>40</v>
      </c>
      <c r="O868" s="15"/>
      <c r="P868" s="6">
        <v>41669.742997685185</v>
      </c>
      <c r="Q868" s="12"/>
      <c r="R868" s="17" t="s">
        <v>3013</v>
      </c>
      <c r="S868" s="11" t="s">
        <v>3014</v>
      </c>
      <c r="T868" s="12"/>
      <c r="U868" s="10" t="str">
        <f>HYPERLINK("https://pbs.twimg.com/profile_images/1022195977476886528/8a-sUFb0.jpg","View")</f>
        <v>View</v>
      </c>
    </row>
    <row r="869" spans="1:21" ht="40.799999999999997">
      <c r="A869" s="6">
        <v>43421.399097222224</v>
      </c>
      <c r="B869" s="7" t="str">
        <f>HYPERLINK("https://twitter.com/cuentavox","@cuentavox")</f>
        <v>@cuentavox</v>
      </c>
      <c r="C869" s="8" t="s">
        <v>2215</v>
      </c>
      <c r="D869" s="9" t="s">
        <v>3015</v>
      </c>
      <c r="E869" s="10" t="str">
        <f>HYPERLINK("https://twitter.com/cuentavox/status/1063712016760795136","1063712016760795136")</f>
        <v>1063712016760795136</v>
      </c>
      <c r="F869" s="12"/>
      <c r="G869" s="12"/>
      <c r="H869" s="12"/>
      <c r="I869" s="13">
        <v>0</v>
      </c>
      <c r="J869" s="13">
        <v>0</v>
      </c>
      <c r="K869" s="14" t="str">
        <f>HYPERLINK("http://twitter.com/download/iphone","Twitter for iPhone")</f>
        <v>Twitter for iPhone</v>
      </c>
      <c r="L869" s="13">
        <v>1151</v>
      </c>
      <c r="M869" s="13">
        <v>344</v>
      </c>
      <c r="N869" s="13">
        <v>25</v>
      </c>
      <c r="O869" s="15"/>
      <c r="P869" s="6">
        <v>42390.786990740744</v>
      </c>
      <c r="Q869" s="16" t="s">
        <v>2218</v>
      </c>
      <c r="R869" s="17" t="s">
        <v>2219</v>
      </c>
      <c r="S869" s="12"/>
      <c r="T869" s="12"/>
      <c r="U869" s="10" t="str">
        <f>HYPERLINK("https://pbs.twimg.com/profile_images/1064649033933864961/yLorZbPr.jpg","View")</f>
        <v>View</v>
      </c>
    </row>
    <row r="870" spans="1:21" ht="30.6">
      <c r="A870" s="6">
        <v>43421.398194444446</v>
      </c>
      <c r="B870" s="7" t="str">
        <f>HYPERLINK("https://twitter.com/COJONESAZUL","@COJONESAZUL")</f>
        <v>@COJONESAZUL</v>
      </c>
      <c r="C870" s="8" t="s">
        <v>273</v>
      </c>
      <c r="D870" s="9" t="s">
        <v>2813</v>
      </c>
      <c r="E870" s="10" t="str">
        <f>HYPERLINK("https://twitter.com/COJONESAZUL/status/1063711690884300800","1063711690884300800")</f>
        <v>1063711690884300800</v>
      </c>
      <c r="F870" s="11" t="s">
        <v>2734</v>
      </c>
      <c r="G870" s="12"/>
      <c r="H870" s="12"/>
      <c r="I870" s="13">
        <v>4</v>
      </c>
      <c r="J870" s="13">
        <v>6</v>
      </c>
      <c r="K870" s="14" t="str">
        <f>HYPERLINK("http://twitter.com/download/android","Twitter for Android")</f>
        <v>Twitter for Android</v>
      </c>
      <c r="L870" s="13">
        <v>1745</v>
      </c>
      <c r="M870" s="13">
        <v>1341</v>
      </c>
      <c r="N870" s="13">
        <v>30</v>
      </c>
      <c r="O870" s="15"/>
      <c r="P870" s="6">
        <v>41174.990115740744</v>
      </c>
      <c r="Q870" s="12"/>
      <c r="R870" s="17" t="s">
        <v>277</v>
      </c>
      <c r="S870" s="12"/>
      <c r="T870" s="12"/>
      <c r="U870" s="10" t="str">
        <f>HYPERLINK("https://pbs.twimg.com/profile_images/378800000589378336/1071355845a251e31f6f1c69ee16cda9.jpeg","View")</f>
        <v>View</v>
      </c>
    </row>
    <row r="871" spans="1:21" ht="30.6">
      <c r="A871" s="6">
        <v>43421.380381944444</v>
      </c>
      <c r="B871" s="7" t="str">
        <f>HYPERLINK("https://twitter.com/Nlopezazcutia","@Nlopezazcutia")</f>
        <v>@Nlopezazcutia</v>
      </c>
      <c r="C871" s="8" t="s">
        <v>3016</v>
      </c>
      <c r="D871" s="9" t="s">
        <v>3017</v>
      </c>
      <c r="E871" s="10" t="str">
        <f>HYPERLINK("https://twitter.com/Nlopezazcutia/status/1063705235577864192","1063705235577864192")</f>
        <v>1063705235577864192</v>
      </c>
      <c r="F871" s="12"/>
      <c r="G871" s="11" t="s">
        <v>3018</v>
      </c>
      <c r="H871" s="12"/>
      <c r="I871" s="13">
        <v>11</v>
      </c>
      <c r="J871" s="13">
        <v>14</v>
      </c>
      <c r="K871" s="14" t="str">
        <f>HYPERLINK("http://twitter.com","Twitter Web Client")</f>
        <v>Twitter Web Client</v>
      </c>
      <c r="L871" s="13">
        <v>366</v>
      </c>
      <c r="M871" s="13">
        <v>542</v>
      </c>
      <c r="N871" s="13">
        <v>5</v>
      </c>
      <c r="O871" s="15"/>
      <c r="P871" s="6">
        <v>40733.49491898148</v>
      </c>
      <c r="Q871" s="16" t="s">
        <v>3019</v>
      </c>
      <c r="R871" s="17" t="s">
        <v>3020</v>
      </c>
      <c r="S871" s="12"/>
      <c r="T871" s="12"/>
      <c r="U871" s="10" t="str">
        <f>HYPERLINK("https://pbs.twimg.com/profile_images/734887477736017920/zVmqhF_y.jpg","View")</f>
        <v>View</v>
      </c>
    </row>
    <row r="872" spans="1:21" ht="30.6">
      <c r="A872" s="6">
        <v>43421.346400462964</v>
      </c>
      <c r="B872" s="7" t="str">
        <f>HYPERLINK("https://twitter.com/rromerovilches","@rromerovilches")</f>
        <v>@rromerovilches</v>
      </c>
      <c r="C872" s="8" t="s">
        <v>3021</v>
      </c>
      <c r="D872" s="9" t="s">
        <v>3022</v>
      </c>
      <c r="E872" s="10" t="str">
        <f>HYPERLINK("https://twitter.com/rromerovilches/status/1063692920509923328","1063692920509923328")</f>
        <v>1063692920509923328</v>
      </c>
      <c r="F872" s="12"/>
      <c r="G872" s="11" t="s">
        <v>3023</v>
      </c>
      <c r="H872" s="12"/>
      <c r="I872" s="13">
        <v>35</v>
      </c>
      <c r="J872" s="13">
        <v>77</v>
      </c>
      <c r="K872" s="14" t="str">
        <f>HYPERLINK("http://twitter.com/download/android","Twitter for Android")</f>
        <v>Twitter for Android</v>
      </c>
      <c r="L872" s="13">
        <v>2144</v>
      </c>
      <c r="M872" s="13">
        <v>871</v>
      </c>
      <c r="N872" s="13">
        <v>25</v>
      </c>
      <c r="O872" s="15"/>
      <c r="P872" s="6">
        <v>42069.43748842593</v>
      </c>
      <c r="Q872" s="12"/>
      <c r="R872" s="17" t="s">
        <v>3024</v>
      </c>
      <c r="S872" s="12"/>
      <c r="T872" s="12"/>
      <c r="U872" s="10" t="str">
        <f>HYPERLINK("https://pbs.twimg.com/profile_images/653697164909117440/d6kSEER1.jpg","View")</f>
        <v>View</v>
      </c>
    </row>
    <row r="873" spans="1:21" ht="51">
      <c r="A873" s="6">
        <v>43421.338182870371</v>
      </c>
      <c r="B873" s="7" t="str">
        <f>HYPERLINK("https://twitter.com/trendinaliaES","@trendinaliaES")</f>
        <v>@trendinaliaES</v>
      </c>
      <c r="C873" s="8" t="s">
        <v>265</v>
      </c>
      <c r="D873" s="9" t="s">
        <v>3025</v>
      </c>
      <c r="E873" s="10" t="str">
        <f>HYPERLINK("https://twitter.com/trendinaliaES/status/1063689945053720576","1063689945053720576")</f>
        <v>1063689945053720576</v>
      </c>
      <c r="F873" s="11" t="s">
        <v>3026</v>
      </c>
      <c r="G873" s="12"/>
      <c r="H873" s="12" t="str">
        <f>HYPERLINK("https://ctrlq.org/maps/address/#40.4203,-3.7058","Map")</f>
        <v>Map</v>
      </c>
      <c r="I873" s="13">
        <v>0</v>
      </c>
      <c r="J873" s="13">
        <v>0</v>
      </c>
      <c r="K873" s="14" t="str">
        <f>HYPERLINK("http://laconversa.com","Es Tendencia en España")</f>
        <v>Es Tendencia en España</v>
      </c>
      <c r="L873" s="13">
        <v>49141</v>
      </c>
      <c r="M873" s="13">
        <v>37</v>
      </c>
      <c r="N873" s="13">
        <v>723</v>
      </c>
      <c r="O873" s="23" t="s">
        <v>186</v>
      </c>
      <c r="P873" s="6">
        <v>41319.819074074076</v>
      </c>
      <c r="Q873" s="16" t="s">
        <v>66</v>
      </c>
      <c r="R873" s="17" t="s">
        <v>268</v>
      </c>
      <c r="S873" s="11" t="s">
        <v>269</v>
      </c>
      <c r="T873" s="12"/>
      <c r="U873" s="10" t="str">
        <f>HYPERLINK("https://pbs.twimg.com/profile_images/696485210821632000/xpdMQ_mE.png","View")</f>
        <v>View</v>
      </c>
    </row>
    <row r="874" spans="1:21" ht="61.2">
      <c r="A874" s="6">
        <v>43421.303495370375</v>
      </c>
      <c r="B874" s="7" t="str">
        <f>HYPERLINK("https://twitter.com/diegomateoz","@diegomateoz")</f>
        <v>@diegomateoz</v>
      </c>
      <c r="C874" s="8" t="s">
        <v>3027</v>
      </c>
      <c r="D874" s="9" t="s">
        <v>3028</v>
      </c>
      <c r="E874" s="10" t="str">
        <f>HYPERLINK("https://twitter.com/diegomateoz/status/1063677372225003522","1063677372225003522")</f>
        <v>1063677372225003522</v>
      </c>
      <c r="F874" s="12"/>
      <c r="G874" s="11" t="s">
        <v>3029</v>
      </c>
      <c r="H874" s="12"/>
      <c r="I874" s="13">
        <v>0</v>
      </c>
      <c r="J874" s="13">
        <v>1</v>
      </c>
      <c r="K874" s="14" t="str">
        <f>HYPERLINK("http://twitter.com/download/android","Twitter for Android")</f>
        <v>Twitter for Android</v>
      </c>
      <c r="L874" s="13">
        <v>105</v>
      </c>
      <c r="M874" s="13">
        <v>131</v>
      </c>
      <c r="N874" s="13">
        <v>1</v>
      </c>
      <c r="O874" s="15"/>
      <c r="P874" s="6">
        <v>43303.801157407404</v>
      </c>
      <c r="Q874" s="16" t="s">
        <v>1970</v>
      </c>
      <c r="R874" s="17" t="s">
        <v>3030</v>
      </c>
      <c r="S874" s="12"/>
      <c r="T874" s="12"/>
      <c r="U874" s="10" t="str">
        <f>HYPERLINK("https://pbs.twimg.com/profile_images/1023982177619509249/yFj5hJOe.jpg","View")</f>
        <v>View</v>
      </c>
    </row>
    <row r="875" spans="1:21" ht="40.799999999999997">
      <c r="A875" s="6">
        <v>43421.29305555555</v>
      </c>
      <c r="B875" s="7" t="str">
        <f>HYPERLINK("https://twitter.com/bitMomentum","@bitMomentum")</f>
        <v>@bitMomentum</v>
      </c>
      <c r="C875" s="8" t="s">
        <v>368</v>
      </c>
      <c r="D875" s="9" t="s">
        <v>3031</v>
      </c>
      <c r="E875" s="10" t="str">
        <f>HYPERLINK("https://twitter.com/bitMomentum/status/1063673587985539073","1063673587985539073")</f>
        <v>1063673587985539073</v>
      </c>
      <c r="F875" s="12"/>
      <c r="G875" s="12"/>
      <c r="H875" s="12"/>
      <c r="I875" s="13">
        <v>0</v>
      </c>
      <c r="J875" s="13">
        <v>1</v>
      </c>
      <c r="K875" s="14" t="str">
        <f>HYPERLINK("http://www.bitmomentum.com","bitMomentum Bot")</f>
        <v>bitMomentum Bot</v>
      </c>
      <c r="L875" s="13">
        <v>10132</v>
      </c>
      <c r="M875" s="13">
        <v>1060</v>
      </c>
      <c r="N875" s="13">
        <v>267</v>
      </c>
      <c r="O875" s="15"/>
      <c r="P875" s="6">
        <v>41608.667511574073</v>
      </c>
      <c r="Q875" s="12"/>
      <c r="R875" s="17" t="s">
        <v>371</v>
      </c>
      <c r="S875" s="11" t="s">
        <v>372</v>
      </c>
      <c r="T875" s="12"/>
      <c r="U875" s="10" t="str">
        <f>HYPERLINK("https://pbs.twimg.com/profile_images/378800000862185241/20ij2H3u.png","View")</f>
        <v>View</v>
      </c>
    </row>
    <row r="876" spans="1:21" ht="51">
      <c r="A876" s="6">
        <v>43421.212997685187</v>
      </c>
      <c r="B876" s="7" t="str">
        <f>HYPERLINK("https://twitter.com/TercioHispanico","@TercioHispanico")</f>
        <v>@TercioHispanico</v>
      </c>
      <c r="C876" s="8" t="s">
        <v>283</v>
      </c>
      <c r="D876" s="9" t="s">
        <v>3584</v>
      </c>
      <c r="E876" s="10" t="str">
        <f>HYPERLINK("https://twitter.com/TercioHispanico/status/1063644577222049793","1063644577222049793")</f>
        <v>1063644577222049793</v>
      </c>
      <c r="F876" s="12"/>
      <c r="G876" s="12"/>
      <c r="H876" s="12"/>
      <c r="I876" s="13">
        <v>0</v>
      </c>
      <c r="J876" s="13">
        <v>0</v>
      </c>
      <c r="K876" s="14" t="str">
        <f>HYPERLINK("https://diariorc.com","Tercio Hispánico App C")</f>
        <v>Tercio Hispánico App C</v>
      </c>
      <c r="L876" s="13">
        <v>1463</v>
      </c>
      <c r="M876" s="13">
        <v>1448</v>
      </c>
      <c r="N876" s="13">
        <v>3</v>
      </c>
      <c r="O876" s="15"/>
      <c r="P876" s="6">
        <v>43074.817384259259</v>
      </c>
      <c r="Q876" s="16" t="s">
        <v>66</v>
      </c>
      <c r="R876" s="17" t="s">
        <v>287</v>
      </c>
      <c r="S876" s="12"/>
      <c r="T876" s="12"/>
      <c r="U876" s="10" t="str">
        <f>HYPERLINK("https://pbs.twimg.com/profile_images/938810411045941249/GJ1yq9OJ.jpg","View")</f>
        <v>View</v>
      </c>
    </row>
    <row r="877" spans="1:21" ht="20.399999999999999">
      <c r="A877" s="6">
        <v>43421.201296296298</v>
      </c>
      <c r="B877" s="7" t="str">
        <f>HYPERLINK("https://twitter.com/josemisansal","@josemisansal")</f>
        <v>@josemisansal</v>
      </c>
      <c r="C877" s="8" t="s">
        <v>2867</v>
      </c>
      <c r="D877" s="9" t="s">
        <v>525</v>
      </c>
      <c r="E877" s="10" t="str">
        <f>HYPERLINK("https://twitter.com/josemisansal/status/1063640338592686080","1063640338592686080")</f>
        <v>1063640338592686080</v>
      </c>
      <c r="F877" s="11" t="s">
        <v>526</v>
      </c>
      <c r="G877" s="12"/>
      <c r="H877" s="12"/>
      <c r="I877" s="13">
        <v>0</v>
      </c>
      <c r="J877" s="13">
        <v>0</v>
      </c>
      <c r="K877" s="14" t="str">
        <f>HYPERLINK("https://www.google.com/","Google")</f>
        <v>Google</v>
      </c>
      <c r="L877" s="13">
        <v>177</v>
      </c>
      <c r="M877" s="13">
        <v>1156</v>
      </c>
      <c r="N877" s="13">
        <v>3</v>
      </c>
      <c r="O877" s="15"/>
      <c r="P877" s="6">
        <v>41457.224027777775</v>
      </c>
      <c r="Q877" s="16" t="s">
        <v>2870</v>
      </c>
      <c r="R877" s="21"/>
      <c r="S877" s="12"/>
      <c r="T877" s="12"/>
      <c r="U877" s="23" t="s">
        <v>307</v>
      </c>
    </row>
    <row r="878" spans="1:21" ht="51">
      <c r="A878" s="6">
        <v>43421.19326388889</v>
      </c>
      <c r="B878" s="7" t="str">
        <f>HYPERLINK("https://twitter.com/AdeSiracusa","@AdeSiracusa")</f>
        <v>@AdeSiracusa</v>
      </c>
      <c r="C878" s="8" t="s">
        <v>362</v>
      </c>
      <c r="D878" s="9" t="s">
        <v>3593</v>
      </c>
      <c r="E878" s="10" t="str">
        <f>HYPERLINK("https://twitter.com/AdeSiracusa/status/1063637428232163329","1063637428232163329")</f>
        <v>1063637428232163329</v>
      </c>
      <c r="F878" s="12"/>
      <c r="G878" s="12"/>
      <c r="H878" s="12"/>
      <c r="I878" s="13">
        <v>0</v>
      </c>
      <c r="J878" s="13">
        <v>0</v>
      </c>
      <c r="K878" s="14" t="str">
        <f>HYPERLINK("http://www.republicosvenezuela.com/","AdeSiracusa")</f>
        <v>AdeSiracusa</v>
      </c>
      <c r="L878" s="13">
        <v>3920</v>
      </c>
      <c r="M878" s="13">
        <v>3927</v>
      </c>
      <c r="N878" s="13">
        <v>12</v>
      </c>
      <c r="O878" s="15"/>
      <c r="P878" s="6">
        <v>42958.576388888891</v>
      </c>
      <c r="Q878" s="16" t="s">
        <v>73</v>
      </c>
      <c r="R878" s="17" t="s">
        <v>366</v>
      </c>
      <c r="S878" s="12"/>
      <c r="T878" s="12"/>
      <c r="U878" s="10" t="str">
        <f>HYPERLINK("https://pbs.twimg.com/profile_images/895978354591105024/x2wNXrPl.jpg","View")</f>
        <v>View</v>
      </c>
    </row>
    <row r="879" spans="1:21" ht="40.799999999999997">
      <c r="A879" s="6">
        <v>43421.16805555555</v>
      </c>
      <c r="B879" s="7" t="str">
        <f>HYPERLINK("https://twitter.com/bitMomentum","@bitMomentum")</f>
        <v>@bitMomentum</v>
      </c>
      <c r="C879" s="8" t="s">
        <v>368</v>
      </c>
      <c r="D879" s="9" t="s">
        <v>3032</v>
      </c>
      <c r="E879" s="10" t="str">
        <f>HYPERLINK("https://twitter.com/bitMomentum/status/1063628289607168005","1063628289607168005")</f>
        <v>1063628289607168005</v>
      </c>
      <c r="F879" s="12"/>
      <c r="G879" s="12"/>
      <c r="H879" s="12"/>
      <c r="I879" s="13">
        <v>0</v>
      </c>
      <c r="J879" s="13">
        <v>1</v>
      </c>
      <c r="K879" s="14" t="str">
        <f>HYPERLINK("http://www.bitmomentum.com","bitMomentum Bot")</f>
        <v>bitMomentum Bot</v>
      </c>
      <c r="L879" s="13">
        <v>10132</v>
      </c>
      <c r="M879" s="13">
        <v>1060</v>
      </c>
      <c r="N879" s="13">
        <v>267</v>
      </c>
      <c r="O879" s="15"/>
      <c r="P879" s="6">
        <v>41608.667511574073</v>
      </c>
      <c r="Q879" s="12"/>
      <c r="R879" s="17" t="s">
        <v>371</v>
      </c>
      <c r="S879" s="11" t="s">
        <v>372</v>
      </c>
      <c r="T879" s="12"/>
      <c r="U879" s="10" t="str">
        <f>HYPERLINK("https://pbs.twimg.com/profile_images/378800000862185241/20ij2H3u.png","View")</f>
        <v>View</v>
      </c>
    </row>
    <row r="880" spans="1:21" ht="51">
      <c r="A880" s="6">
        <v>43421.167986111112</v>
      </c>
      <c r="B880" s="7" t="str">
        <f>HYPERLINK("https://twitter.com/PBMarbeMalaga","@PBMarbeMalaga")</f>
        <v>@PBMarbeMalaga</v>
      </c>
      <c r="C880" s="8" t="s">
        <v>293</v>
      </c>
      <c r="D880" s="9" t="s">
        <v>3605</v>
      </c>
      <c r="E880" s="10" t="str">
        <f>HYPERLINK("https://twitter.com/PBMarbeMalaga/status/1063628266441977858","1063628266441977858")</f>
        <v>1063628266441977858</v>
      </c>
      <c r="F880" s="12"/>
      <c r="G880" s="12"/>
      <c r="H880" s="12"/>
      <c r="I880" s="13">
        <v>0</v>
      </c>
      <c r="J880" s="13">
        <v>0</v>
      </c>
      <c r="K880" s="14" t="str">
        <f>HYPERLINK("https://javitang.ddns.net","PBMarbeMalaga")</f>
        <v>PBMarbeMalaga</v>
      </c>
      <c r="L880" s="13">
        <v>1222</v>
      </c>
      <c r="M880" s="13">
        <v>1245</v>
      </c>
      <c r="N880" s="13">
        <v>2</v>
      </c>
      <c r="O880" s="15"/>
      <c r="P880" s="6">
        <v>43149.814074074078</v>
      </c>
      <c r="Q880" s="16" t="s">
        <v>298</v>
      </c>
      <c r="R880" s="17" t="s">
        <v>299</v>
      </c>
      <c r="S880" s="12"/>
      <c r="T880" s="12"/>
      <c r="U880" s="10" t="str">
        <f>HYPERLINK("https://pbs.twimg.com/profile_images/965296691145531392/sAFnfUu2.jpg","View")</f>
        <v>View</v>
      </c>
    </row>
    <row r="881" spans="1:21" ht="51">
      <c r="A881" s="6">
        <v>43421.166273148148</v>
      </c>
      <c r="B881" s="7" t="str">
        <f>HYPERLINK("https://twitter.com/PdeSamos","@PdeSamos")</f>
        <v>@PdeSamos</v>
      </c>
      <c r="C881" s="8" t="s">
        <v>376</v>
      </c>
      <c r="D881" s="9" t="s">
        <v>3608</v>
      </c>
      <c r="E881" s="10" t="str">
        <f>HYPERLINK("https://twitter.com/PdeSamos/status/1063627643449425920","1063627643449425920")</f>
        <v>1063627643449425920</v>
      </c>
      <c r="F881" s="12"/>
      <c r="G881" s="12"/>
      <c r="H881" s="12"/>
      <c r="I881" s="13">
        <v>0</v>
      </c>
      <c r="J881" s="13">
        <v>0</v>
      </c>
      <c r="K881" s="14" t="str">
        <f>HYPERLINK("http://republico.ddns.net","App Libertad PdeSamos")</f>
        <v>App Libertad PdeSamos</v>
      </c>
      <c r="L881" s="13">
        <v>5284</v>
      </c>
      <c r="M881" s="13">
        <v>5302</v>
      </c>
      <c r="N881" s="13">
        <v>12</v>
      </c>
      <c r="O881" s="15"/>
      <c r="P881" s="6">
        <v>42889.820567129631</v>
      </c>
      <c r="Q881" s="16" t="s">
        <v>378</v>
      </c>
      <c r="R881" s="17" t="s">
        <v>379</v>
      </c>
      <c r="S881" s="12"/>
      <c r="T881" s="12"/>
      <c r="U881" s="10" t="str">
        <f>HYPERLINK("https://pbs.twimg.com/profile_images/871063742003511296/xK2IYbrO.jpg","View")</f>
        <v>View</v>
      </c>
    </row>
    <row r="882" spans="1:21" ht="30.6">
      <c r="A882" s="6">
        <v>43421.066805555558</v>
      </c>
      <c r="B882" s="7" t="str">
        <f>HYPERLINK("https://twitter.com/Alberto8Crespo","@Alberto8Crespo")</f>
        <v>@Alberto8Crespo</v>
      </c>
      <c r="C882" s="8" t="s">
        <v>3034</v>
      </c>
      <c r="D882" s="9" t="s">
        <v>3035</v>
      </c>
      <c r="E882" s="10" t="str">
        <f>HYPERLINK("https://twitter.com/Alberto8Crespo/status/1063591601254080517","1063591601254080517")</f>
        <v>1063591601254080517</v>
      </c>
      <c r="F882" s="12"/>
      <c r="G882" s="12"/>
      <c r="H882" s="12"/>
      <c r="I882" s="13">
        <v>0</v>
      </c>
      <c r="J882" s="13">
        <v>0</v>
      </c>
      <c r="K882" s="14" t="str">
        <f t="shared" ref="K882:K885" si="263">HYPERLINK("http://twitter.com/download/iphone","Twitter for iPhone")</f>
        <v>Twitter for iPhone</v>
      </c>
      <c r="L882" s="13">
        <v>389</v>
      </c>
      <c r="M882" s="13">
        <v>134</v>
      </c>
      <c r="N882" s="13">
        <v>1</v>
      </c>
      <c r="O882" s="15"/>
      <c r="P882" s="6">
        <v>40786.710324074076</v>
      </c>
      <c r="Q882" s="12"/>
      <c r="R882" s="26" t="s">
        <v>3038</v>
      </c>
      <c r="S882" s="12"/>
      <c r="T882" s="12"/>
      <c r="U882" s="10" t="str">
        <f>HYPERLINK("https://pbs.twimg.com/profile_images/921469943840944129/mDxZkl97.jpg","View")</f>
        <v>View</v>
      </c>
    </row>
    <row r="883" spans="1:21" ht="102">
      <c r="A883" s="6">
        <v>43421.061805555553</v>
      </c>
      <c r="B883" s="7" t="str">
        <f>HYPERLINK("https://twitter.com/Jrmgonzalez","@Jrmgonzalez")</f>
        <v>@Jrmgonzalez</v>
      </c>
      <c r="C883" s="8" t="s">
        <v>308</v>
      </c>
      <c r="D883" s="9" t="s">
        <v>3039</v>
      </c>
      <c r="E883" s="10" t="str">
        <f>HYPERLINK("https://twitter.com/Jrmgonzalez/status/1063589788463312897","1063589788463312897")</f>
        <v>1063589788463312897</v>
      </c>
      <c r="F883" s="11" t="s">
        <v>3040</v>
      </c>
      <c r="G883" s="11" t="s">
        <v>3041</v>
      </c>
      <c r="H883" s="12"/>
      <c r="I883" s="13">
        <v>4</v>
      </c>
      <c r="J883" s="13">
        <v>4</v>
      </c>
      <c r="K883" s="14" t="str">
        <f t="shared" si="263"/>
        <v>Twitter for iPhone</v>
      </c>
      <c r="L883" s="13">
        <v>32</v>
      </c>
      <c r="M883" s="13">
        <v>265</v>
      </c>
      <c r="N883" s="13">
        <v>2</v>
      </c>
      <c r="O883" s="15"/>
      <c r="P883" s="6">
        <v>41696.563379629632</v>
      </c>
      <c r="Q883" s="16" t="s">
        <v>312</v>
      </c>
      <c r="R883" s="17" t="s">
        <v>313</v>
      </c>
      <c r="S883" s="12"/>
      <c r="T883" s="12"/>
      <c r="U883" s="10" t="str">
        <f>HYPERLINK("https://pbs.twimg.com/profile_images/951188977960222721/P3ZmIVlt.jpg","View")</f>
        <v>View</v>
      </c>
    </row>
    <row r="884" spans="1:21" ht="112.2">
      <c r="A884" s="6">
        <v>43421.058587962965</v>
      </c>
      <c r="B884" s="7" t="str">
        <f>HYPERLINK("https://twitter.com/J_Alberto_Indio","@J_Alberto_Indio")</f>
        <v>@J_Alberto_Indio</v>
      </c>
      <c r="C884" s="8" t="s">
        <v>3043</v>
      </c>
      <c r="D884" s="9" t="s">
        <v>3044</v>
      </c>
      <c r="E884" s="10" t="str">
        <f>HYPERLINK("https://twitter.com/J_Alberto_Indio/status/1063588621758935040","1063588621758935040")</f>
        <v>1063588621758935040</v>
      </c>
      <c r="F884" s="11" t="s">
        <v>3045</v>
      </c>
      <c r="G884" s="11" t="s">
        <v>3046</v>
      </c>
      <c r="H884" s="12"/>
      <c r="I884" s="13">
        <v>0</v>
      </c>
      <c r="J884" s="13">
        <v>0</v>
      </c>
      <c r="K884" s="14" t="str">
        <f t="shared" si="263"/>
        <v>Twitter for iPhone</v>
      </c>
      <c r="L884" s="13">
        <v>276</v>
      </c>
      <c r="M884" s="13">
        <v>653</v>
      </c>
      <c r="N884" s="13">
        <v>7</v>
      </c>
      <c r="O884" s="15"/>
      <c r="P884" s="6">
        <v>40825.710185185184</v>
      </c>
      <c r="Q884" s="12"/>
      <c r="R884" s="21"/>
      <c r="S884" s="11" t="s">
        <v>3047</v>
      </c>
      <c r="T884" s="12"/>
      <c r="U884" s="10" t="str">
        <f>HYPERLINK("https://pbs.twimg.com/profile_images/1053065181633359872/0OrB9S1s.jpg","View")</f>
        <v>View</v>
      </c>
    </row>
    <row r="885" spans="1:21" ht="102">
      <c r="A885" s="6">
        <v>43421.057581018518</v>
      </c>
      <c r="B885" s="7" t="str">
        <f>HYPERLINK("https://twitter.com/Jrmgonzalez","@Jrmgonzalez")</f>
        <v>@Jrmgonzalez</v>
      </c>
      <c r="C885" s="8" t="s">
        <v>308</v>
      </c>
      <c r="D885" s="9" t="s">
        <v>3048</v>
      </c>
      <c r="E885" s="10" t="str">
        <f>HYPERLINK("https://twitter.com/Jrmgonzalez/status/1063588257856925696","1063588257856925696")</f>
        <v>1063588257856925696</v>
      </c>
      <c r="F885" s="11" t="s">
        <v>3040</v>
      </c>
      <c r="G885" s="11" t="s">
        <v>3041</v>
      </c>
      <c r="H885" s="12"/>
      <c r="I885" s="13">
        <v>6</v>
      </c>
      <c r="J885" s="13">
        <v>12</v>
      </c>
      <c r="K885" s="14" t="str">
        <f t="shared" si="263"/>
        <v>Twitter for iPhone</v>
      </c>
      <c r="L885" s="13">
        <v>32</v>
      </c>
      <c r="M885" s="13">
        <v>265</v>
      </c>
      <c r="N885" s="13">
        <v>2</v>
      </c>
      <c r="O885" s="15"/>
      <c r="P885" s="6">
        <v>41696.563379629632</v>
      </c>
      <c r="Q885" s="16" t="s">
        <v>312</v>
      </c>
      <c r="R885" s="17" t="s">
        <v>313</v>
      </c>
      <c r="S885" s="12"/>
      <c r="T885" s="12"/>
      <c r="U885" s="10" t="str">
        <f>HYPERLINK("https://pbs.twimg.com/profile_images/951188977960222721/P3ZmIVlt.jpg","View")</f>
        <v>View</v>
      </c>
    </row>
    <row r="886" spans="1:21" ht="20.399999999999999">
      <c r="A886" s="6">
        <v>43421.054768518516</v>
      </c>
      <c r="B886" s="7" t="str">
        <f>HYPERLINK("https://twitter.com/pouss97","@pouss97")</f>
        <v>@pouss97</v>
      </c>
      <c r="C886" s="8" t="s">
        <v>3049</v>
      </c>
      <c r="D886" s="9" t="s">
        <v>3050</v>
      </c>
      <c r="E886" s="10" t="str">
        <f>HYPERLINK("https://twitter.com/pouss97/status/1063587238288785408","1063587238288785408")</f>
        <v>1063587238288785408</v>
      </c>
      <c r="F886" s="11" t="s">
        <v>3051</v>
      </c>
      <c r="G886" s="11" t="s">
        <v>3052</v>
      </c>
      <c r="H886" s="12"/>
      <c r="I886" s="13">
        <v>0</v>
      </c>
      <c r="J886" s="13">
        <v>2</v>
      </c>
      <c r="K886" s="14" t="str">
        <f>HYPERLINK("http://twitter.com/download/android","Twitter for Android")</f>
        <v>Twitter for Android</v>
      </c>
      <c r="L886" s="13">
        <v>888</v>
      </c>
      <c r="M886" s="13">
        <v>366</v>
      </c>
      <c r="N886" s="13">
        <v>6</v>
      </c>
      <c r="O886" s="15"/>
      <c r="P886" s="6">
        <v>40707.959456018521</v>
      </c>
      <c r="Q886" s="16" t="s">
        <v>3053</v>
      </c>
      <c r="R886" s="17" t="s">
        <v>3054</v>
      </c>
      <c r="S886" s="11" t="s">
        <v>3055</v>
      </c>
      <c r="T886" s="12"/>
      <c r="U886" s="10" t="str">
        <f>HYPERLINK("https://pbs.twimg.com/profile_images/1057124704849420289/1jwnJe-M.jpg","View")</f>
        <v>View</v>
      </c>
    </row>
    <row r="887" spans="1:21" ht="30.6">
      <c r="A887" s="6">
        <v>43421.042037037041</v>
      </c>
      <c r="B887" s="7" t="str">
        <f>HYPERLINK("https://twitter.com/pcaparros","@pcaparros")</f>
        <v>@pcaparros</v>
      </c>
      <c r="C887" s="8" t="s">
        <v>3056</v>
      </c>
      <c r="D887" s="9" t="s">
        <v>3057</v>
      </c>
      <c r="E887" s="10" t="str">
        <f>HYPERLINK("https://twitter.com/pcaparros/status/1063582622834728965","1063582622834728965")</f>
        <v>1063582622834728965</v>
      </c>
      <c r="F887" s="11" t="s">
        <v>3058</v>
      </c>
      <c r="G887" s="12"/>
      <c r="H887" s="12"/>
      <c r="I887" s="13">
        <v>0</v>
      </c>
      <c r="J887" s="13">
        <v>0</v>
      </c>
      <c r="K887" s="14" t="str">
        <f>HYPERLINK("http://twitter.com/#!/download/ipad","Twitter for iPad")</f>
        <v>Twitter for iPad</v>
      </c>
      <c r="L887" s="13">
        <v>400</v>
      </c>
      <c r="M887" s="13">
        <v>1148</v>
      </c>
      <c r="N887" s="13">
        <v>2</v>
      </c>
      <c r="O887" s="15"/>
      <c r="P887" s="6">
        <v>40232.749166666668</v>
      </c>
      <c r="Q887" s="12"/>
      <c r="R887" s="17" t="s">
        <v>3059</v>
      </c>
      <c r="S887" s="12"/>
      <c r="T887" s="12"/>
      <c r="U887" s="10" t="str">
        <f>HYPERLINK("https://pbs.twimg.com/profile_images/1061728435490508801/5oOtPhCz.jpg","View")</f>
        <v>View</v>
      </c>
    </row>
    <row r="888" spans="1:21" ht="20.399999999999999">
      <c r="A888" s="6">
        <v>43421.041990740741</v>
      </c>
      <c r="B888" s="7" t="str">
        <f>HYPERLINK("https://twitter.com/TNylaya","@TNylaya")</f>
        <v>@TNylaya</v>
      </c>
      <c r="C888" s="8" t="s">
        <v>21</v>
      </c>
      <c r="D888" s="9" t="s">
        <v>3636</v>
      </c>
      <c r="E888" s="10" t="str">
        <f>HYPERLINK("https://twitter.com/TNylaya/status/1063582607433236480","1063582607433236480")</f>
        <v>1063582607433236480</v>
      </c>
      <c r="F888" s="11" t="s">
        <v>3639</v>
      </c>
      <c r="G888" s="12"/>
      <c r="H888" s="12"/>
      <c r="I888" s="13">
        <v>0</v>
      </c>
      <c r="J888" s="13">
        <v>0</v>
      </c>
      <c r="K888" s="14" t="str">
        <f t="shared" ref="K888:K891" si="264">HYPERLINK("http://twitter.com/download/android","Twitter for Android")</f>
        <v>Twitter for Android</v>
      </c>
      <c r="L888" s="13">
        <v>82</v>
      </c>
      <c r="M888" s="13">
        <v>268</v>
      </c>
      <c r="N888" s="13">
        <v>0</v>
      </c>
      <c r="O888" s="15"/>
      <c r="P888" s="6">
        <v>43373.076354166667</v>
      </c>
      <c r="Q888" s="12"/>
      <c r="R888" s="17" t="s">
        <v>26</v>
      </c>
      <c r="S888" s="12"/>
      <c r="T888" s="12"/>
      <c r="U888" s="10" t="str">
        <f>HYPERLINK("https://pbs.twimg.com/profile_images/1046188819358322689/x_yItWiC.jpg","View")</f>
        <v>View</v>
      </c>
    </row>
    <row r="889" spans="1:21" ht="51">
      <c r="A889" s="6">
        <v>43421.040752314817</v>
      </c>
      <c r="B889" s="7" t="str">
        <f>HYPERLINK("https://twitter.com/vox_es","@vox_es")</f>
        <v>@vox_es</v>
      </c>
      <c r="C889" s="8" t="s">
        <v>689</v>
      </c>
      <c r="D889" s="9" t="s">
        <v>3060</v>
      </c>
      <c r="E889" s="10" t="str">
        <f>HYPERLINK("https://twitter.com/vox_es/status/1063582158613303296","1063582158613303296")</f>
        <v>1063582158613303296</v>
      </c>
      <c r="F889" s="12"/>
      <c r="G889" s="11" t="s">
        <v>3061</v>
      </c>
      <c r="H889" s="12"/>
      <c r="I889" s="13">
        <v>303</v>
      </c>
      <c r="J889" s="13">
        <v>562</v>
      </c>
      <c r="K889" s="14" t="str">
        <f t="shared" si="264"/>
        <v>Twitter for Android</v>
      </c>
      <c r="L889" s="13">
        <v>122548</v>
      </c>
      <c r="M889" s="13">
        <v>915</v>
      </c>
      <c r="N889" s="13">
        <v>919</v>
      </c>
      <c r="O889" s="23" t="s">
        <v>186</v>
      </c>
      <c r="P889" s="6">
        <v>41596.746655092589</v>
      </c>
      <c r="Q889" s="12"/>
      <c r="R889" s="17" t="s">
        <v>694</v>
      </c>
      <c r="S889" s="11" t="s">
        <v>187</v>
      </c>
      <c r="T889" s="12"/>
      <c r="U889" s="10" t="str">
        <f>HYPERLINK("https://pbs.twimg.com/profile_images/1016653788617363456/m3b3jqW5.jpg","View")</f>
        <v>View</v>
      </c>
    </row>
    <row r="890" spans="1:21" ht="20.399999999999999">
      <c r="A890" s="6">
        <v>43421.032754629632</v>
      </c>
      <c r="B890" s="7" t="str">
        <f>HYPERLINK("https://twitter.com/LordAstaroth2","@LordAstaroth2")</f>
        <v>@LordAstaroth2</v>
      </c>
      <c r="C890" s="8" t="s">
        <v>3644</v>
      </c>
      <c r="D890" s="9" t="s">
        <v>3645</v>
      </c>
      <c r="E890" s="10" t="str">
        <f>HYPERLINK("https://twitter.com/LordAstaroth2/status/1063579257966874625","1063579257966874625")</f>
        <v>1063579257966874625</v>
      </c>
      <c r="F890" s="12"/>
      <c r="G890" s="12"/>
      <c r="H890" s="12"/>
      <c r="I890" s="13">
        <v>0</v>
      </c>
      <c r="J890" s="13">
        <v>2</v>
      </c>
      <c r="K890" s="14" t="str">
        <f t="shared" si="264"/>
        <v>Twitter for Android</v>
      </c>
      <c r="L890" s="13">
        <v>113</v>
      </c>
      <c r="M890" s="13">
        <v>100</v>
      </c>
      <c r="N890" s="13">
        <v>3</v>
      </c>
      <c r="O890" s="15"/>
      <c r="P890" s="6">
        <v>40650.589062500003</v>
      </c>
      <c r="Q890" s="12"/>
      <c r="R890" s="17" t="s">
        <v>3648</v>
      </c>
      <c r="S890" s="12"/>
      <c r="T890" s="12"/>
      <c r="U890" s="10" t="str">
        <f>HYPERLINK("https://pbs.twimg.com/profile_images/987400801114034177/1dlr9J0C.jpg","View")</f>
        <v>View</v>
      </c>
    </row>
    <row r="891" spans="1:21" ht="61.2">
      <c r="A891" s="6">
        <v>43421.010069444441</v>
      </c>
      <c r="B891" s="7" t="str">
        <f>HYPERLINK("https://twitter.com/VCartama","@VCartama")</f>
        <v>@VCartama</v>
      </c>
      <c r="C891" s="8" t="s">
        <v>1386</v>
      </c>
      <c r="D891" s="9" t="s">
        <v>3062</v>
      </c>
      <c r="E891" s="10" t="str">
        <f>HYPERLINK("https://twitter.com/VCartama/status/1063571039618310144","1063571039618310144")</f>
        <v>1063571039618310144</v>
      </c>
      <c r="F891" s="12"/>
      <c r="G891" s="11" t="s">
        <v>3063</v>
      </c>
      <c r="H891" s="12"/>
      <c r="I891" s="13">
        <v>10</v>
      </c>
      <c r="J891" s="13">
        <v>15</v>
      </c>
      <c r="K891" s="14" t="str">
        <f t="shared" si="264"/>
        <v>Twitter for Android</v>
      </c>
      <c r="L891" s="13">
        <v>570</v>
      </c>
      <c r="M891" s="13">
        <v>550</v>
      </c>
      <c r="N891" s="13">
        <v>0</v>
      </c>
      <c r="O891" s="15"/>
      <c r="P891" s="6">
        <v>43298.439421296294</v>
      </c>
      <c r="Q891" s="16" t="s">
        <v>1387</v>
      </c>
      <c r="R891" s="17" t="s">
        <v>1388</v>
      </c>
      <c r="S891" s="11" t="s">
        <v>187</v>
      </c>
      <c r="T891" s="12"/>
      <c r="U891" s="10" t="str">
        <f>HYPERLINK("https://pbs.twimg.com/profile_images/1019190095059046400/fEI3mDvW.jpg","View")</f>
        <v>View</v>
      </c>
    </row>
    <row r="892" spans="1:21" ht="40.799999999999997">
      <c r="A892" s="6">
        <v>43421.003530092596</v>
      </c>
      <c r="B892" s="7" t="str">
        <f>HYPERLINK("https://twitter.com/nukessu","@nukessu")</f>
        <v>@nukessu</v>
      </c>
      <c r="C892" s="8" t="s">
        <v>3064</v>
      </c>
      <c r="D892" s="9" t="s">
        <v>3065</v>
      </c>
      <c r="E892" s="10" t="str">
        <f>HYPERLINK("https://twitter.com/nukessu/status/1063568669589078019","1063568669589078019")</f>
        <v>1063568669589078019</v>
      </c>
      <c r="F892" s="12"/>
      <c r="G892" s="12"/>
      <c r="H892" s="12"/>
      <c r="I892" s="13">
        <v>1</v>
      </c>
      <c r="J892" s="13">
        <v>1</v>
      </c>
      <c r="K892" s="14" t="str">
        <f>HYPERLINK("https://mobile.twitter.com","Twitter Lite")</f>
        <v>Twitter Lite</v>
      </c>
      <c r="L892" s="13">
        <v>117</v>
      </c>
      <c r="M892" s="13">
        <v>224</v>
      </c>
      <c r="N892" s="13">
        <v>3</v>
      </c>
      <c r="O892" s="15"/>
      <c r="P892" s="6">
        <v>42834.631284722222</v>
      </c>
      <c r="Q892" s="16" t="s">
        <v>3066</v>
      </c>
      <c r="R892" s="17" t="s">
        <v>3067</v>
      </c>
      <c r="S892" s="12"/>
      <c r="T892" s="12"/>
      <c r="U892" s="10" t="str">
        <f>HYPERLINK("https://pbs.twimg.com/profile_images/859717654172622848/P-2xvRry.jpg","View")</f>
        <v>View</v>
      </c>
    </row>
    <row r="893" spans="1:21" ht="40.799999999999997">
      <c r="A893" s="6">
        <v>43420.994722222225</v>
      </c>
      <c r="B893" s="7" t="str">
        <f>HYPERLINK("https://twitter.com/Kike_medinalao","@Kike_medinalao")</f>
        <v>@Kike_medinalao</v>
      </c>
      <c r="C893" s="8" t="s">
        <v>3068</v>
      </c>
      <c r="D893" s="9" t="s">
        <v>3069</v>
      </c>
      <c r="E893" s="10" t="str">
        <f>HYPERLINK("https://twitter.com/Kike_medinalao/status/1063565479103598592","1063565479103598592")</f>
        <v>1063565479103598592</v>
      </c>
      <c r="F893" s="12"/>
      <c r="G893" s="12"/>
      <c r="H893" s="12"/>
      <c r="I893" s="13">
        <v>0</v>
      </c>
      <c r="J893" s="13">
        <v>0</v>
      </c>
      <c r="K893" s="14" t="str">
        <f>HYPERLINK("http://twitter.com/download/iphone","Twitter for iPhone")</f>
        <v>Twitter for iPhone</v>
      </c>
      <c r="L893" s="13">
        <v>125</v>
      </c>
      <c r="M893" s="13">
        <v>238</v>
      </c>
      <c r="N893" s="13">
        <v>1</v>
      </c>
      <c r="O893" s="15"/>
      <c r="P893" s="6">
        <v>42187.926759259259</v>
      </c>
      <c r="Q893" s="12"/>
      <c r="R893" s="17" t="s">
        <v>3071</v>
      </c>
      <c r="S893" s="11" t="s">
        <v>3072</v>
      </c>
      <c r="T893" s="12"/>
      <c r="U893" s="10" t="str">
        <f>HYPERLINK("https://pbs.twimg.com/profile_images/623582938366636032/v89UuAN2.jpg","View")</f>
        <v>View</v>
      </c>
    </row>
    <row r="894" spans="1:21" ht="40.799999999999997">
      <c r="A894" s="6">
        <v>43420.987557870365</v>
      </c>
      <c r="B894" s="7" t="str">
        <f>HYPERLINK("https://twitter.com/vox_cartagena","@vox_cartagena")</f>
        <v>@vox_cartagena</v>
      </c>
      <c r="C894" s="8" t="s">
        <v>3073</v>
      </c>
      <c r="D894" s="9" t="s">
        <v>3074</v>
      </c>
      <c r="E894" s="10" t="str">
        <f>HYPERLINK("https://twitter.com/vox_cartagena/status/1063562880346411008","1063562880346411008")</f>
        <v>1063562880346411008</v>
      </c>
      <c r="F894" s="11" t="s">
        <v>1801</v>
      </c>
      <c r="G894" s="12"/>
      <c r="H894" s="12"/>
      <c r="I894" s="13">
        <v>13</v>
      </c>
      <c r="J894" s="13">
        <v>19</v>
      </c>
      <c r="K894" s="14" t="str">
        <f>HYPERLINK("http://twitter.com/download/android","Twitter for Android")</f>
        <v>Twitter for Android</v>
      </c>
      <c r="L894" s="13">
        <v>1511</v>
      </c>
      <c r="M894" s="13">
        <v>519</v>
      </c>
      <c r="N894" s="13">
        <v>22</v>
      </c>
      <c r="O894" s="15"/>
      <c r="P894" s="6">
        <v>41716.846712962964</v>
      </c>
      <c r="Q894" s="16" t="s">
        <v>423</v>
      </c>
      <c r="R894" s="17" t="s">
        <v>3075</v>
      </c>
      <c r="S894" s="11" t="s">
        <v>3076</v>
      </c>
      <c r="T894" s="12"/>
      <c r="U894" s="10" t="str">
        <f>HYPERLINK("https://pbs.twimg.com/profile_images/976938838806421506/4Xv0sCeD.jpg","View")</f>
        <v>View</v>
      </c>
    </row>
    <row r="895" spans="1:21" ht="81.599999999999994">
      <c r="A895" s="6">
        <v>43420.983634259261</v>
      </c>
      <c r="B895" s="7" t="str">
        <f>HYPERLINK("https://twitter.com/TWildFree","@TWildFree")</f>
        <v>@TWildFree</v>
      </c>
      <c r="C895" s="8" t="s">
        <v>3077</v>
      </c>
      <c r="D895" s="9" t="s">
        <v>3078</v>
      </c>
      <c r="E895" s="10" t="str">
        <f>HYPERLINK("https://twitter.com/TWildFree/status/1063561457814642694","1063561457814642694")</f>
        <v>1063561457814642694</v>
      </c>
      <c r="F895" s="11" t="s">
        <v>3079</v>
      </c>
      <c r="G895" s="11" t="s">
        <v>3080</v>
      </c>
      <c r="H895" s="12"/>
      <c r="I895" s="13">
        <v>10</v>
      </c>
      <c r="J895" s="13">
        <v>11</v>
      </c>
      <c r="K895" s="14" t="str">
        <f>HYPERLINK("http://twitter.com/download/iphone","Twitter for iPhone")</f>
        <v>Twitter for iPhone</v>
      </c>
      <c r="L895" s="13">
        <v>3202</v>
      </c>
      <c r="M895" s="13">
        <v>2153</v>
      </c>
      <c r="N895" s="13">
        <v>87</v>
      </c>
      <c r="O895" s="15"/>
      <c r="P895" s="6">
        <v>40675.791099537033</v>
      </c>
      <c r="Q895" s="16" t="s">
        <v>104</v>
      </c>
      <c r="R895" s="17" t="s">
        <v>3081</v>
      </c>
      <c r="S895" s="12"/>
      <c r="T895" s="12"/>
      <c r="U895" s="10" t="str">
        <f>HYPERLINK("https://pbs.twimg.com/profile_images/957036860483784704/CBcXOFy_.jpg","View")</f>
        <v>View</v>
      </c>
    </row>
    <row r="896" spans="1:21" ht="20.399999999999999">
      <c r="A896" s="6">
        <v>43420.983310185184</v>
      </c>
      <c r="B896" s="7" t="str">
        <f>HYPERLINK("https://twitter.com/ohriol","@ohriol")</f>
        <v>@ohriol</v>
      </c>
      <c r="C896" s="8" t="s">
        <v>3669</v>
      </c>
      <c r="D896" s="9" t="s">
        <v>3670</v>
      </c>
      <c r="E896" s="10" t="str">
        <f>HYPERLINK("https://twitter.com/ohriol/status/1063561341393412096","1063561341393412096")</f>
        <v>1063561341393412096</v>
      </c>
      <c r="F896" s="12"/>
      <c r="G896" s="12"/>
      <c r="H896" s="12"/>
      <c r="I896" s="13">
        <v>0</v>
      </c>
      <c r="J896" s="13">
        <v>0</v>
      </c>
      <c r="K896" s="14" t="str">
        <f>HYPERLINK("http://twitter.com/download/android","Twitter for Android")</f>
        <v>Twitter for Android</v>
      </c>
      <c r="L896" s="13">
        <v>114</v>
      </c>
      <c r="M896" s="13">
        <v>251</v>
      </c>
      <c r="N896" s="13">
        <v>14</v>
      </c>
      <c r="O896" s="15"/>
      <c r="P896" s="6">
        <v>39953.829143518517</v>
      </c>
      <c r="Q896" s="16" t="s">
        <v>3672</v>
      </c>
      <c r="R896" s="17" t="s">
        <v>3673</v>
      </c>
      <c r="S896" s="12"/>
      <c r="T896" s="12"/>
      <c r="U896" s="10" t="str">
        <f>HYPERLINK("https://pbs.twimg.com/profile_images/843570864700473344/I9pfNqL9.jpg","View")</f>
        <v>View</v>
      </c>
    </row>
    <row r="897" spans="1:21" ht="20.399999999999999">
      <c r="A897" s="6">
        <v>43420.976412037038</v>
      </c>
      <c r="B897" s="7" t="str">
        <f>HYPERLINK("https://twitter.com/javipese","@javipese")</f>
        <v>@javipese</v>
      </c>
      <c r="C897" s="8" t="s">
        <v>3082</v>
      </c>
      <c r="D897" s="9" t="s">
        <v>3083</v>
      </c>
      <c r="E897" s="10" t="str">
        <f>HYPERLINK("https://twitter.com/javipese/status/1063558840103391232","1063558840103391232")</f>
        <v>1063558840103391232</v>
      </c>
      <c r="F897" s="12"/>
      <c r="G897" s="11" t="s">
        <v>3084</v>
      </c>
      <c r="H897" s="12"/>
      <c r="I897" s="13">
        <v>0</v>
      </c>
      <c r="J897" s="13">
        <v>0</v>
      </c>
      <c r="K897" s="14" t="str">
        <f t="shared" ref="K897:K898" si="265">HYPERLINK("http://twitter.com/download/iphone","Twitter for iPhone")</f>
        <v>Twitter for iPhone</v>
      </c>
      <c r="L897" s="13">
        <v>1475</v>
      </c>
      <c r="M897" s="13">
        <v>1086</v>
      </c>
      <c r="N897" s="13">
        <v>86</v>
      </c>
      <c r="O897" s="15"/>
      <c r="P897" s="6">
        <v>40624.543055555558</v>
      </c>
      <c r="Q897" s="16" t="s">
        <v>3085</v>
      </c>
      <c r="R897" s="17" t="s">
        <v>3086</v>
      </c>
      <c r="S897" s="12"/>
      <c r="T897" s="12"/>
      <c r="U897" s="10" t="str">
        <f>HYPERLINK("https://pbs.twimg.com/profile_images/824579560574517249/gYvYBOJH.jpg","View")</f>
        <v>View</v>
      </c>
    </row>
    <row r="898" spans="1:21" ht="51">
      <c r="A898" s="6">
        <v>43420.975740740745</v>
      </c>
      <c r="B898" s="7" t="str">
        <f>HYPERLINK("https://twitter.com/Kike_medinalao","@Kike_medinalao")</f>
        <v>@Kike_medinalao</v>
      </c>
      <c r="C898" s="8" t="s">
        <v>3068</v>
      </c>
      <c r="D898" s="9" t="s">
        <v>3087</v>
      </c>
      <c r="E898" s="10" t="str">
        <f>HYPERLINK("https://twitter.com/Kike_medinalao/status/1063558600226942977","1063558600226942977")</f>
        <v>1063558600226942977</v>
      </c>
      <c r="F898" s="12"/>
      <c r="G898" s="12"/>
      <c r="H898" s="12"/>
      <c r="I898" s="13">
        <v>14</v>
      </c>
      <c r="J898" s="13">
        <v>18</v>
      </c>
      <c r="K898" s="14" t="str">
        <f t="shared" si="265"/>
        <v>Twitter for iPhone</v>
      </c>
      <c r="L898" s="13">
        <v>125</v>
      </c>
      <c r="M898" s="13">
        <v>238</v>
      </c>
      <c r="N898" s="13">
        <v>1</v>
      </c>
      <c r="O898" s="15"/>
      <c r="P898" s="6">
        <v>42187.926759259259</v>
      </c>
      <c r="Q898" s="12"/>
      <c r="R898" s="17" t="s">
        <v>3071</v>
      </c>
      <c r="S898" s="11" t="s">
        <v>3072</v>
      </c>
      <c r="T898" s="12"/>
      <c r="U898" s="10" t="str">
        <f>HYPERLINK("https://pbs.twimg.com/profile_images/623582938366636032/v89UuAN2.jpg","View")</f>
        <v>View</v>
      </c>
    </row>
    <row r="899" spans="1:21" ht="81.599999999999994">
      <c r="A899" s="6">
        <v>43420.975474537037</v>
      </c>
      <c r="B899" s="7" t="str">
        <f>HYPERLINK("https://twitter.com/VOX_Espartinas","@VOX_Espartinas")</f>
        <v>@VOX_Espartinas</v>
      </c>
      <c r="C899" s="8" t="s">
        <v>3088</v>
      </c>
      <c r="D899" s="9" t="s">
        <v>3089</v>
      </c>
      <c r="E899" s="10" t="str">
        <f>HYPERLINK("https://twitter.com/VOX_Espartinas/status/1063558502889721857","1063558502889721857")</f>
        <v>1063558502889721857</v>
      </c>
      <c r="F899" s="11" t="s">
        <v>3090</v>
      </c>
      <c r="G899" s="11" t="s">
        <v>3091</v>
      </c>
      <c r="H899" s="12"/>
      <c r="I899" s="13">
        <v>0</v>
      </c>
      <c r="J899" s="13">
        <v>2</v>
      </c>
      <c r="K899" s="14" t="str">
        <f>HYPERLINK("http://twitter.com/download/android","Twitter for Android")</f>
        <v>Twitter for Android</v>
      </c>
      <c r="L899" s="13">
        <v>260</v>
      </c>
      <c r="M899" s="13">
        <v>286</v>
      </c>
      <c r="N899" s="13">
        <v>1</v>
      </c>
      <c r="O899" s="15"/>
      <c r="P899" s="6">
        <v>43285.555034722223</v>
      </c>
      <c r="Q899" s="16" t="s">
        <v>3092</v>
      </c>
      <c r="R899" s="17" t="s">
        <v>3093</v>
      </c>
      <c r="S899" s="12"/>
      <c r="T899" s="12"/>
      <c r="U899" s="10" t="str">
        <f>HYPERLINK("https://pbs.twimg.com/profile_images/1037847046936559616/WLtTrWZl.jpg","View")</f>
        <v>View</v>
      </c>
    </row>
    <row r="900" spans="1:21" ht="51">
      <c r="A900" s="6">
        <v>43420.959722222222</v>
      </c>
      <c r="B900" s="7" t="str">
        <f>HYPERLINK("https://twitter.com/bitMomentum","@bitMomentum")</f>
        <v>@bitMomentum</v>
      </c>
      <c r="C900" s="8" t="s">
        <v>368</v>
      </c>
      <c r="D900" s="9" t="s">
        <v>3094</v>
      </c>
      <c r="E900" s="10" t="str">
        <f>HYPERLINK("https://twitter.com/bitMomentum/status/1063552792286175232","1063552792286175232")</f>
        <v>1063552792286175232</v>
      </c>
      <c r="F900" s="12"/>
      <c r="G900" s="12"/>
      <c r="H900" s="12"/>
      <c r="I900" s="13">
        <v>0</v>
      </c>
      <c r="J900" s="13">
        <v>1</v>
      </c>
      <c r="K900" s="14" t="str">
        <f>HYPERLINK("http://www.bitmomentum.com","bitMomentum Bot")</f>
        <v>bitMomentum Bot</v>
      </c>
      <c r="L900" s="13">
        <v>10132</v>
      </c>
      <c r="M900" s="13">
        <v>1060</v>
      </c>
      <c r="N900" s="13">
        <v>267</v>
      </c>
      <c r="O900" s="15"/>
      <c r="P900" s="6">
        <v>41608.667511574073</v>
      </c>
      <c r="Q900" s="12"/>
      <c r="R900" s="17" t="s">
        <v>371</v>
      </c>
      <c r="S900" s="11" t="s">
        <v>372</v>
      </c>
      <c r="T900" s="12"/>
      <c r="U900" s="10" t="str">
        <f>HYPERLINK("https://pbs.twimg.com/profile_images/378800000862185241/20ij2H3u.png","View")</f>
        <v>View</v>
      </c>
    </row>
    <row r="901" spans="1:21" ht="40.799999999999997">
      <c r="A901" s="6">
        <v>43420.956307870365</v>
      </c>
      <c r="B901" s="7" t="str">
        <f>HYPERLINK("https://twitter.com/FlanaganMcPhee","@FlanaganMcPhee")</f>
        <v>@FlanaganMcPhee</v>
      </c>
      <c r="C901" s="8" t="s">
        <v>3683</v>
      </c>
      <c r="D901" s="9" t="s">
        <v>3684</v>
      </c>
      <c r="E901" s="10" t="str">
        <f>HYPERLINK("https://twitter.com/FlanaganMcPhee/status/1063551556644208640","1063551556644208640")</f>
        <v>1063551556644208640</v>
      </c>
      <c r="F901" s="12"/>
      <c r="G901" s="12"/>
      <c r="H901" s="12"/>
      <c r="I901" s="13">
        <v>20</v>
      </c>
      <c r="J901" s="13">
        <v>54</v>
      </c>
      <c r="K901" s="14" t="str">
        <f>HYPERLINK("http://twitter.com/download/iphone","Twitter for iPhone")</f>
        <v>Twitter for iPhone</v>
      </c>
      <c r="L901" s="13">
        <v>23500</v>
      </c>
      <c r="M901" s="13">
        <v>848</v>
      </c>
      <c r="N901" s="13">
        <v>368</v>
      </c>
      <c r="O901" s="15"/>
      <c r="P901" s="6">
        <v>40561.526192129633</v>
      </c>
      <c r="Q901" s="16" t="s">
        <v>3687</v>
      </c>
      <c r="R901" s="17" t="s">
        <v>3688</v>
      </c>
      <c r="S901" s="11" t="s">
        <v>3689</v>
      </c>
      <c r="T901" s="12"/>
      <c r="U901" s="10" t="str">
        <f>HYPERLINK("https://pbs.twimg.com/profile_images/817531602494488576/u8tAUhoq.jpg","View")</f>
        <v>View</v>
      </c>
    </row>
    <row r="902" spans="1:21" ht="51">
      <c r="A902" s="6">
        <v>43420.955543981487</v>
      </c>
      <c r="B902" s="7" t="str">
        <f>HYPERLINK("https://twitter.com/aguavientoysal7","@aguavientoysal7")</f>
        <v>@aguavientoysal7</v>
      </c>
      <c r="C902" s="8" t="s">
        <v>3095</v>
      </c>
      <c r="D902" s="9" t="s">
        <v>3096</v>
      </c>
      <c r="E902" s="10" t="str">
        <f>HYPERLINK("https://twitter.com/aguavientoysal7/status/1063551277844611073","1063551277844611073")</f>
        <v>1063551277844611073</v>
      </c>
      <c r="F902" s="11" t="s">
        <v>3097</v>
      </c>
      <c r="G902" s="11" t="s">
        <v>3098</v>
      </c>
      <c r="H902" s="12"/>
      <c r="I902" s="13">
        <v>0</v>
      </c>
      <c r="J902" s="13">
        <v>0</v>
      </c>
      <c r="K902" s="14" t="str">
        <f t="shared" ref="K902:K905" si="266">HYPERLINK("http://twitter.com/download/android","Twitter for Android")</f>
        <v>Twitter for Android</v>
      </c>
      <c r="L902" s="13">
        <v>289</v>
      </c>
      <c r="M902" s="13">
        <v>340</v>
      </c>
      <c r="N902" s="13">
        <v>0</v>
      </c>
      <c r="O902" s="15"/>
      <c r="P902" s="6">
        <v>42779.55604166667</v>
      </c>
      <c r="Q902" s="16" t="s">
        <v>3099</v>
      </c>
      <c r="R902" s="17" t="s">
        <v>3100</v>
      </c>
      <c r="S902" s="12"/>
      <c r="T902" s="12"/>
      <c r="U902" s="10" t="str">
        <f>HYPERLINK("https://pbs.twimg.com/profile_images/1041663043187499008/1E78Z3n7.jpg","View")</f>
        <v>View</v>
      </c>
    </row>
    <row r="903" spans="1:21" ht="71.400000000000006">
      <c r="A903" s="6">
        <v>43420.952604166669</v>
      </c>
      <c r="B903" s="7" t="str">
        <f>HYPERLINK("https://twitter.com/VOXSevilla","@VOXSevilla")</f>
        <v>@VOXSevilla</v>
      </c>
      <c r="C903" s="8" t="s">
        <v>3101</v>
      </c>
      <c r="D903" s="9" t="s">
        <v>3102</v>
      </c>
      <c r="E903" s="10" t="str">
        <f>HYPERLINK("https://twitter.com/VOXSevilla/status/1063550212629823489","1063550212629823489")</f>
        <v>1063550212629823489</v>
      </c>
      <c r="F903" s="16" t="s">
        <v>3103</v>
      </c>
      <c r="G903" s="11" t="s">
        <v>3104</v>
      </c>
      <c r="H903" s="12"/>
      <c r="I903" s="13">
        <v>39</v>
      </c>
      <c r="J903" s="13">
        <v>53</v>
      </c>
      <c r="K903" s="14" t="str">
        <f t="shared" si="266"/>
        <v>Twitter for Android</v>
      </c>
      <c r="L903" s="13">
        <v>7726</v>
      </c>
      <c r="M903" s="13">
        <v>1534</v>
      </c>
      <c r="N903" s="13">
        <v>67</v>
      </c>
      <c r="O903" s="15"/>
      <c r="P903" s="6">
        <v>41691.750023148146</v>
      </c>
      <c r="Q903" s="16" t="s">
        <v>3105</v>
      </c>
      <c r="R903" s="17" t="s">
        <v>3106</v>
      </c>
      <c r="S903" s="11" t="s">
        <v>3107</v>
      </c>
      <c r="T903" s="12"/>
      <c r="U903" s="10" t="str">
        <f>HYPERLINK("https://pbs.twimg.com/profile_images/984861064704774146/oJ_70XfQ.jpg","View")</f>
        <v>View</v>
      </c>
    </row>
    <row r="904" spans="1:21" ht="71.400000000000006">
      <c r="A904" s="6">
        <v>43420.945381944446</v>
      </c>
      <c r="B904" s="7" t="str">
        <f>HYPERLINK("https://twitter.com/pegaso_fantasma","@pegaso_fantasma")</f>
        <v>@pegaso_fantasma</v>
      </c>
      <c r="C904" s="8" t="s">
        <v>3108</v>
      </c>
      <c r="D904" s="9" t="s">
        <v>3109</v>
      </c>
      <c r="E904" s="10" t="str">
        <f>HYPERLINK("https://twitter.com/pegaso_fantasma/status/1063547597305118720","1063547597305118720")</f>
        <v>1063547597305118720</v>
      </c>
      <c r="F904" s="16" t="s">
        <v>3110</v>
      </c>
      <c r="G904" s="12"/>
      <c r="H904" s="12"/>
      <c r="I904" s="13">
        <v>0</v>
      </c>
      <c r="J904" s="13">
        <v>2</v>
      </c>
      <c r="K904" s="14" t="str">
        <f t="shared" si="266"/>
        <v>Twitter for Android</v>
      </c>
      <c r="L904" s="13">
        <v>133</v>
      </c>
      <c r="M904" s="13">
        <v>182</v>
      </c>
      <c r="N904" s="13">
        <v>0</v>
      </c>
      <c r="O904" s="15"/>
      <c r="P904" s="6">
        <v>40568.848865740743</v>
      </c>
      <c r="Q904" s="16" t="s">
        <v>61</v>
      </c>
      <c r="R904" s="17" t="s">
        <v>3111</v>
      </c>
      <c r="S904" s="12"/>
      <c r="T904" s="12"/>
      <c r="U904" s="10" t="str">
        <f>HYPERLINK("https://pbs.twimg.com/profile_images/874242874946334722/_pRrhb-G.jpg","View")</f>
        <v>View</v>
      </c>
    </row>
    <row r="905" spans="1:21" ht="71.400000000000006">
      <c r="A905" s="6">
        <v>43420.944907407407</v>
      </c>
      <c r="B905" s="7" t="str">
        <f>HYPERLINK("https://twitter.com/Joseman80583733","@Joseman80583733")</f>
        <v>@Joseman80583733</v>
      </c>
      <c r="C905" s="8" t="s">
        <v>3112</v>
      </c>
      <c r="D905" s="9" t="s">
        <v>3113</v>
      </c>
      <c r="E905" s="10" t="str">
        <f>HYPERLINK("https://twitter.com/Joseman80583733/status/1063547424214519808","1063547424214519808")</f>
        <v>1063547424214519808</v>
      </c>
      <c r="F905" s="11" t="s">
        <v>3114</v>
      </c>
      <c r="G905" s="11" t="s">
        <v>3115</v>
      </c>
      <c r="H905" s="12"/>
      <c r="I905" s="13">
        <v>2</v>
      </c>
      <c r="J905" s="13">
        <v>2</v>
      </c>
      <c r="K905" s="14" t="str">
        <f t="shared" si="266"/>
        <v>Twitter for Android</v>
      </c>
      <c r="L905" s="13">
        <v>89</v>
      </c>
      <c r="M905" s="13">
        <v>189</v>
      </c>
      <c r="N905" s="13">
        <v>0</v>
      </c>
      <c r="O905" s="15"/>
      <c r="P905" s="6">
        <v>43380.943425925929</v>
      </c>
      <c r="Q905" s="12"/>
      <c r="R905" s="21"/>
      <c r="S905" s="12"/>
      <c r="T905" s="12"/>
      <c r="U905" s="10" t="str">
        <f>HYPERLINK("https://pbs.twimg.com/profile_images/1049313672873558016/Y27qg465.jpg","View")</f>
        <v>View</v>
      </c>
    </row>
    <row r="906" spans="1:21" ht="40.799999999999997">
      <c r="A906" s="6">
        <v>43420.941886574074</v>
      </c>
      <c r="B906" s="7" t="str">
        <f>HYPERLINK("https://twitter.com/diariobalear_es","@diariobalear_es")</f>
        <v>@diariobalear_es</v>
      </c>
      <c r="C906" s="8" t="s">
        <v>672</v>
      </c>
      <c r="D906" s="9" t="s">
        <v>3116</v>
      </c>
      <c r="E906" s="10" t="str">
        <f>HYPERLINK("https://twitter.com/diariobalear_es/status/1063546330348429312","1063546330348429312")</f>
        <v>1063546330348429312</v>
      </c>
      <c r="F906" s="11" t="s">
        <v>3117</v>
      </c>
      <c r="G906" s="12"/>
      <c r="H906" s="12"/>
      <c r="I906" s="13">
        <v>5</v>
      </c>
      <c r="J906" s="13">
        <v>7</v>
      </c>
      <c r="K906" s="14" t="str">
        <f>HYPERLINK("http://twitter.com","Twitter Web Client")</f>
        <v>Twitter Web Client</v>
      </c>
      <c r="L906" s="13">
        <v>3196</v>
      </c>
      <c r="M906" s="13">
        <v>347</v>
      </c>
      <c r="N906" s="13">
        <v>71</v>
      </c>
      <c r="O906" s="15"/>
      <c r="P906" s="6">
        <v>41694.754687499997</v>
      </c>
      <c r="Q906" s="16" t="s">
        <v>675</v>
      </c>
      <c r="R906" s="17" t="s">
        <v>676</v>
      </c>
      <c r="S906" s="11" t="s">
        <v>677</v>
      </c>
      <c r="T906" s="12"/>
      <c r="U906" s="10" t="str">
        <f>HYPERLINK("https://pbs.twimg.com/profile_images/992417277797597184/28OVRjFF.jpg","View")</f>
        <v>View</v>
      </c>
    </row>
    <row r="907" spans="1:21" ht="51">
      <c r="A907" s="6">
        <v>43420.938113425931</v>
      </c>
      <c r="B907" s="7" t="str">
        <f>HYPERLINK("https://twitter.com/profesorjaen","@profesorjaen")</f>
        <v>@profesorjaen</v>
      </c>
      <c r="C907" s="8" t="s">
        <v>2688</v>
      </c>
      <c r="D907" s="9" t="s">
        <v>3118</v>
      </c>
      <c r="E907" s="10" t="str">
        <f>HYPERLINK("https://twitter.com/profesorjaen/status/1063544962703343617","1063544962703343617")</f>
        <v>1063544962703343617</v>
      </c>
      <c r="F907" s="12"/>
      <c r="G907" s="11" t="s">
        <v>3119</v>
      </c>
      <c r="H907" s="12"/>
      <c r="I907" s="13">
        <v>49</v>
      </c>
      <c r="J907" s="13">
        <v>139</v>
      </c>
      <c r="K907" s="14" t="str">
        <f t="shared" ref="K907:K908" si="267">HYPERLINK("http://twitter.com/download/android","Twitter for Android")</f>
        <v>Twitter for Android</v>
      </c>
      <c r="L907" s="13">
        <v>6310</v>
      </c>
      <c r="M907" s="13">
        <v>210</v>
      </c>
      <c r="N907" s="13">
        <v>118</v>
      </c>
      <c r="O907" s="15"/>
      <c r="P907" s="6">
        <v>40844.911736111113</v>
      </c>
      <c r="Q907" s="16" t="s">
        <v>66</v>
      </c>
      <c r="R907" s="17" t="s">
        <v>2691</v>
      </c>
      <c r="S907" s="11" t="s">
        <v>2692</v>
      </c>
      <c r="T907" s="12"/>
      <c r="U907" s="10" t="str">
        <f>HYPERLINK("https://pbs.twimg.com/profile_images/914109676748509184/ubpWdGIE.jpg","View")</f>
        <v>View</v>
      </c>
    </row>
    <row r="908" spans="1:21" ht="20.399999999999999">
      <c r="A908" s="6">
        <v>43420.932199074072</v>
      </c>
      <c r="B908" s="7" t="str">
        <f>HYPERLINK("https://twitter.com/MCastillaCort","@MCastillaCort")</f>
        <v>@MCastillaCort</v>
      </c>
      <c r="C908" s="8" t="s">
        <v>3120</v>
      </c>
      <c r="D908" s="9" t="s">
        <v>3121</v>
      </c>
      <c r="E908" s="10" t="str">
        <f>HYPERLINK("https://twitter.com/MCastillaCort/status/1063542817954430976","1063542817954430976")</f>
        <v>1063542817954430976</v>
      </c>
      <c r="F908" s="12"/>
      <c r="G908" s="12"/>
      <c r="H908" s="12"/>
      <c r="I908" s="13">
        <v>0</v>
      </c>
      <c r="J908" s="13">
        <v>1</v>
      </c>
      <c r="K908" s="14" t="str">
        <f t="shared" si="267"/>
        <v>Twitter for Android</v>
      </c>
      <c r="L908" s="13">
        <v>523</v>
      </c>
      <c r="M908" s="13">
        <v>515</v>
      </c>
      <c r="N908" s="13">
        <v>4</v>
      </c>
      <c r="O908" s="15"/>
      <c r="P908" s="6">
        <v>40658.952048611114</v>
      </c>
      <c r="Q908" s="16" t="s">
        <v>3122</v>
      </c>
      <c r="R908" s="17" t="s">
        <v>3123</v>
      </c>
      <c r="S908" s="12"/>
      <c r="T908" s="12"/>
      <c r="U908" s="10" t="str">
        <f>HYPERLINK("https://pbs.twimg.com/profile_images/536603387106959360/gpXrr2A7.jpeg","View")</f>
        <v>View</v>
      </c>
    </row>
    <row r="909" spans="1:21" ht="51">
      <c r="A909" s="6">
        <v>43420.928715277776</v>
      </c>
      <c r="B909" s="7" t="str">
        <f>HYPERLINK("https://twitter.com/bitMomentum","@bitMomentum")</f>
        <v>@bitMomentum</v>
      </c>
      <c r="C909" s="8" t="s">
        <v>368</v>
      </c>
      <c r="D909" s="9" t="s">
        <v>3124</v>
      </c>
      <c r="E909" s="10" t="str">
        <f>HYPERLINK("https://twitter.com/bitMomentum/status/1063541559080177665","1063541559080177665")</f>
        <v>1063541559080177665</v>
      </c>
      <c r="F909" s="12"/>
      <c r="G909" s="11" t="s">
        <v>3125</v>
      </c>
      <c r="H909" s="12"/>
      <c r="I909" s="13">
        <v>0</v>
      </c>
      <c r="J909" s="13">
        <v>1</v>
      </c>
      <c r="K909" s="14" t="str">
        <f>HYPERLINK("http://www.bitmomentum.com","bitMomentum Bot")</f>
        <v>bitMomentum Bot</v>
      </c>
      <c r="L909" s="13">
        <v>10132</v>
      </c>
      <c r="M909" s="13">
        <v>1060</v>
      </c>
      <c r="N909" s="13">
        <v>267</v>
      </c>
      <c r="O909" s="15"/>
      <c r="P909" s="6">
        <v>41608.667511574073</v>
      </c>
      <c r="Q909" s="12"/>
      <c r="R909" s="17" t="s">
        <v>371</v>
      </c>
      <c r="S909" s="11" t="s">
        <v>372</v>
      </c>
      <c r="T909" s="12"/>
      <c r="U909" s="10" t="str">
        <f>HYPERLINK("https://pbs.twimg.com/profile_images/378800000862185241/20ij2H3u.png","View")</f>
        <v>View</v>
      </c>
    </row>
    <row r="910" spans="1:21" ht="61.2">
      <c r="A910" s="6">
        <v>43420.915972222225</v>
      </c>
      <c r="B910" s="7" t="str">
        <f>HYPERLINK("https://twitter.com/Santi_ABASCAL","@Santi_ABASCAL")</f>
        <v>@Santi_ABASCAL</v>
      </c>
      <c r="C910" s="8" t="s">
        <v>182</v>
      </c>
      <c r="D910" s="9" t="s">
        <v>3724</v>
      </c>
      <c r="E910" s="10" t="str">
        <f>HYPERLINK("https://twitter.com/Santi_ABASCAL/status/1063536939247300608","1063536939247300608")</f>
        <v>1063536939247300608</v>
      </c>
      <c r="F910" s="11" t="s">
        <v>2295</v>
      </c>
      <c r="G910" s="11" t="s">
        <v>2296</v>
      </c>
      <c r="H910" s="12"/>
      <c r="I910" s="13">
        <v>959</v>
      </c>
      <c r="J910" s="13">
        <v>2716</v>
      </c>
      <c r="K910" s="14" t="str">
        <f t="shared" ref="K910:K912" si="268">HYPERLINK("http://twitter.com/download/android","Twitter for Android")</f>
        <v>Twitter for Android</v>
      </c>
      <c r="L910" s="13">
        <v>117602</v>
      </c>
      <c r="M910" s="13">
        <v>3896</v>
      </c>
      <c r="N910" s="13">
        <v>915</v>
      </c>
      <c r="O910" s="23" t="s">
        <v>186</v>
      </c>
      <c r="P910" s="6">
        <v>40606.716446759259</v>
      </c>
      <c r="Q910" s="16" t="s">
        <v>188</v>
      </c>
      <c r="R910" s="17" t="s">
        <v>189</v>
      </c>
      <c r="S910" s="11" t="s">
        <v>190</v>
      </c>
      <c r="T910" s="12"/>
      <c r="U910" s="10" t="str">
        <f>HYPERLINK("https://pbs.twimg.com/profile_images/1010488787686879232/2CnqYKlD.jpg","View")</f>
        <v>View</v>
      </c>
    </row>
    <row r="911" spans="1:21" ht="40.799999999999997">
      <c r="A911" s="6">
        <v>43420.905752314815</v>
      </c>
      <c r="B911" s="7" t="str">
        <f>HYPERLINK("https://twitter.com/MCastillaCort","@MCastillaCort")</f>
        <v>@MCastillaCort</v>
      </c>
      <c r="C911" s="8" t="s">
        <v>3120</v>
      </c>
      <c r="D911" s="9" t="s">
        <v>3131</v>
      </c>
      <c r="E911" s="10" t="str">
        <f>HYPERLINK("https://twitter.com/MCastillaCort/status/1063533235521630208","1063533235521630208")</f>
        <v>1063533235521630208</v>
      </c>
      <c r="F911" s="12"/>
      <c r="G911" s="11" t="s">
        <v>3132</v>
      </c>
      <c r="H911" s="12"/>
      <c r="I911" s="13">
        <v>0</v>
      </c>
      <c r="J911" s="13">
        <v>2</v>
      </c>
      <c r="K911" s="14" t="str">
        <f t="shared" si="268"/>
        <v>Twitter for Android</v>
      </c>
      <c r="L911" s="13">
        <v>523</v>
      </c>
      <c r="M911" s="13">
        <v>515</v>
      </c>
      <c r="N911" s="13">
        <v>4</v>
      </c>
      <c r="O911" s="15"/>
      <c r="P911" s="6">
        <v>40658.952048611114</v>
      </c>
      <c r="Q911" s="16" t="s">
        <v>3122</v>
      </c>
      <c r="R911" s="17" t="s">
        <v>3123</v>
      </c>
      <c r="S911" s="12"/>
      <c r="T911" s="12"/>
      <c r="U911" s="10" t="str">
        <f>HYPERLINK("https://pbs.twimg.com/profile_images/536603387106959360/gpXrr2A7.jpeg","View")</f>
        <v>View</v>
      </c>
    </row>
    <row r="912" spans="1:21" ht="30.6">
      <c r="A912" s="6">
        <v>43420.890844907408</v>
      </c>
      <c r="B912" s="7" t="str">
        <f>HYPERLINK("https://twitter.com/Juangom88729226","@Juangom88729226")</f>
        <v>@Juangom88729226</v>
      </c>
      <c r="C912" s="8" t="s">
        <v>3133</v>
      </c>
      <c r="D912" s="9" t="s">
        <v>3134</v>
      </c>
      <c r="E912" s="10" t="str">
        <f>HYPERLINK("https://twitter.com/Juangom88729226/status/1063527833136435200","1063527833136435200")</f>
        <v>1063527833136435200</v>
      </c>
      <c r="F912" s="12"/>
      <c r="G912" s="11" t="s">
        <v>3135</v>
      </c>
      <c r="H912" s="12"/>
      <c r="I912" s="13">
        <v>3</v>
      </c>
      <c r="J912" s="13">
        <v>4</v>
      </c>
      <c r="K912" s="14" t="str">
        <f t="shared" si="268"/>
        <v>Twitter for Android</v>
      </c>
      <c r="L912" s="13">
        <v>655</v>
      </c>
      <c r="M912" s="13">
        <v>713</v>
      </c>
      <c r="N912" s="13">
        <v>7</v>
      </c>
      <c r="O912" s="15"/>
      <c r="P912" s="6">
        <v>42912.82880787037</v>
      </c>
      <c r="Q912" s="16" t="s">
        <v>66</v>
      </c>
      <c r="R912" s="17" t="s">
        <v>3136</v>
      </c>
      <c r="S912" s="12"/>
      <c r="T912" s="12"/>
      <c r="U912" s="10" t="str">
        <f>HYPERLINK("https://pbs.twimg.com/profile_images/1063775264348491776/fjMleX0B.jpg","View")</f>
        <v>View</v>
      </c>
    </row>
    <row r="913" spans="1:21" ht="81.599999999999994">
      <c r="A913" s="6">
        <v>43420.888055555552</v>
      </c>
      <c r="B913" s="7" t="str">
        <f>HYPERLINK("https://twitter.com/patricia_trix8","@patricia_trix8")</f>
        <v>@patricia_trix8</v>
      </c>
      <c r="C913" s="8" t="s">
        <v>3139</v>
      </c>
      <c r="D913" s="9" t="s">
        <v>3140</v>
      </c>
      <c r="E913" s="10" t="str">
        <f>HYPERLINK("https://twitter.com/patricia_trix8/status/1063526821445148673","1063526821445148673")</f>
        <v>1063526821445148673</v>
      </c>
      <c r="F913" s="11" t="s">
        <v>3141</v>
      </c>
      <c r="G913" s="11" t="s">
        <v>3142</v>
      </c>
      <c r="H913" s="12"/>
      <c r="I913" s="13">
        <v>44</v>
      </c>
      <c r="J913" s="13">
        <v>50</v>
      </c>
      <c r="K913" s="14" t="str">
        <f>HYPERLINK("http://twitter.com/download/iphone","Twitter for iPhone")</f>
        <v>Twitter for iPhone</v>
      </c>
      <c r="L913" s="13">
        <v>1595</v>
      </c>
      <c r="M913" s="13">
        <v>1866</v>
      </c>
      <c r="N913" s="13">
        <v>1</v>
      </c>
      <c r="O913" s="15"/>
      <c r="P913" s="6">
        <v>43279.446250000001</v>
      </c>
      <c r="Q913" s="16" t="s">
        <v>3143</v>
      </c>
      <c r="R913" s="17" t="s">
        <v>3144</v>
      </c>
      <c r="S913" s="12"/>
      <c r="T913" s="12"/>
      <c r="U913" s="10" t="str">
        <f>HYPERLINK("https://pbs.twimg.com/profile_images/1065376768557809664/htJ62LBH.jpg","View")</f>
        <v>View</v>
      </c>
    </row>
    <row r="914" spans="1:21" ht="61.2">
      <c r="A914" s="6">
        <v>43420.884282407409</v>
      </c>
      <c r="B914" s="7" t="str">
        <f>HYPERLINK("https://twitter.com/lunadebenidorm","@lunadebenidorm")</f>
        <v>@lunadebenidorm</v>
      </c>
      <c r="C914" s="8" t="s">
        <v>106</v>
      </c>
      <c r="D914" s="9" t="s">
        <v>3145</v>
      </c>
      <c r="E914" s="10" t="str">
        <f>HYPERLINK("https://twitter.com/lunadebenidorm/status/1063525453137395712","1063525453137395712")</f>
        <v>1063525453137395712</v>
      </c>
      <c r="F914" s="11" t="s">
        <v>3146</v>
      </c>
      <c r="G914" s="11" t="s">
        <v>3147</v>
      </c>
      <c r="H914" s="12"/>
      <c r="I914" s="13">
        <v>1</v>
      </c>
      <c r="J914" s="13">
        <v>1</v>
      </c>
      <c r="K914" s="14" t="str">
        <f t="shared" ref="K914:K919" si="269">HYPERLINK("http://twitter.com/download/android","Twitter for Android")</f>
        <v>Twitter for Android</v>
      </c>
      <c r="L914" s="13">
        <v>3991</v>
      </c>
      <c r="M914" s="13">
        <v>3978</v>
      </c>
      <c r="N914" s="13">
        <v>79</v>
      </c>
      <c r="O914" s="15"/>
      <c r="P914" s="6">
        <v>41461.81186342593</v>
      </c>
      <c r="Q914" s="12"/>
      <c r="R914" s="17" t="s">
        <v>108</v>
      </c>
      <c r="S914" s="12"/>
      <c r="T914" s="12"/>
      <c r="U914" s="10" t="str">
        <f>HYPERLINK("https://pbs.twimg.com/profile_images/1061229593758257153/rePCQt08.jpg","View")</f>
        <v>View</v>
      </c>
    </row>
    <row r="915" spans="1:21" ht="61.2">
      <c r="A915" s="6">
        <v>43420.884085648147</v>
      </c>
      <c r="B915" s="7" t="str">
        <f>HYPERLINK("https://twitter.com/VandalsRCD1","@VandalsRCD1")</f>
        <v>@VandalsRCD1</v>
      </c>
      <c r="C915" s="8" t="s">
        <v>3744</v>
      </c>
      <c r="D915" s="9" t="s">
        <v>3745</v>
      </c>
      <c r="E915" s="10" t="str">
        <f>HYPERLINK("https://twitter.com/VandalsRCD1/status/1063525382954147840","1063525382954147840")</f>
        <v>1063525382954147840</v>
      </c>
      <c r="F915" s="16" t="s">
        <v>3746</v>
      </c>
      <c r="G915" s="12"/>
      <c r="H915" s="12"/>
      <c r="I915" s="13">
        <v>0</v>
      </c>
      <c r="J915" s="13">
        <v>16</v>
      </c>
      <c r="K915" s="14" t="str">
        <f t="shared" si="269"/>
        <v>Twitter for Android</v>
      </c>
      <c r="L915" s="13">
        <v>220</v>
      </c>
      <c r="M915" s="13">
        <v>176</v>
      </c>
      <c r="N915" s="13">
        <v>0</v>
      </c>
      <c r="O915" s="15"/>
      <c r="P915" s="6">
        <v>43340.942083333328</v>
      </c>
      <c r="Q915" s="12"/>
      <c r="R915" s="17" t="s">
        <v>3747</v>
      </c>
      <c r="S915" s="12"/>
      <c r="T915" s="12"/>
      <c r="U915" s="10" t="str">
        <f>HYPERLINK("https://pbs.twimg.com/profile_images/1034818117023801344/jcNB3K0z.jpg","View")</f>
        <v>View</v>
      </c>
    </row>
    <row r="916" spans="1:21" ht="102">
      <c r="A916" s="6">
        <v>43420.880011574074</v>
      </c>
      <c r="B916" s="7" t="str">
        <f>HYPERLINK("https://twitter.com/lunadebenidorm","@lunadebenidorm")</f>
        <v>@lunadebenidorm</v>
      </c>
      <c r="C916" s="8" t="s">
        <v>106</v>
      </c>
      <c r="D916" s="9" t="s">
        <v>3148</v>
      </c>
      <c r="E916" s="10" t="str">
        <f>HYPERLINK("https://twitter.com/lunadebenidorm/status/1063523906068324353","1063523906068324353")</f>
        <v>1063523906068324353</v>
      </c>
      <c r="F916" s="11" t="s">
        <v>3149</v>
      </c>
      <c r="G916" s="12"/>
      <c r="H916" s="12"/>
      <c r="I916" s="13">
        <v>1</v>
      </c>
      <c r="J916" s="13">
        <v>3</v>
      </c>
      <c r="K916" s="14" t="str">
        <f t="shared" si="269"/>
        <v>Twitter for Android</v>
      </c>
      <c r="L916" s="13">
        <v>3991</v>
      </c>
      <c r="M916" s="13">
        <v>3978</v>
      </c>
      <c r="N916" s="13">
        <v>79</v>
      </c>
      <c r="O916" s="15"/>
      <c r="P916" s="6">
        <v>41461.81186342593</v>
      </c>
      <c r="Q916" s="12"/>
      <c r="R916" s="17" t="s">
        <v>108</v>
      </c>
      <c r="S916" s="12"/>
      <c r="T916" s="12"/>
      <c r="U916" s="10" t="str">
        <f>HYPERLINK("https://pbs.twimg.com/profile_images/1061229593758257153/rePCQt08.jpg","View")</f>
        <v>View</v>
      </c>
    </row>
    <row r="917" spans="1:21" ht="40.799999999999997">
      <c r="A917" s="6">
        <v>43420.879652777774</v>
      </c>
      <c r="B917" s="7" t="str">
        <f>HYPERLINK("https://twitter.com/Manolomp4","@Manolomp4")</f>
        <v>@Manolomp4</v>
      </c>
      <c r="C917" s="8" t="s">
        <v>3150</v>
      </c>
      <c r="D917" s="9" t="s">
        <v>3151</v>
      </c>
      <c r="E917" s="10" t="str">
        <f>HYPERLINK("https://twitter.com/Manolomp4/status/1063523777835909120","1063523777835909120")</f>
        <v>1063523777835909120</v>
      </c>
      <c r="F917" s="12"/>
      <c r="G917" s="11" t="s">
        <v>3152</v>
      </c>
      <c r="H917" s="12"/>
      <c r="I917" s="13">
        <v>7</v>
      </c>
      <c r="J917" s="13">
        <v>6</v>
      </c>
      <c r="K917" s="14" t="str">
        <f t="shared" si="269"/>
        <v>Twitter for Android</v>
      </c>
      <c r="L917" s="13">
        <v>475</v>
      </c>
      <c r="M917" s="13">
        <v>413</v>
      </c>
      <c r="N917" s="13">
        <v>3</v>
      </c>
      <c r="O917" s="15"/>
      <c r="P917" s="6">
        <v>43147.110706018517</v>
      </c>
      <c r="Q917" s="12"/>
      <c r="R917" s="17" t="s">
        <v>3153</v>
      </c>
      <c r="S917" s="12"/>
      <c r="T917" s="12"/>
      <c r="U917" s="10" t="str">
        <f>HYPERLINK("https://pbs.twimg.com/profile_images/1050471824998445056/0SvrkdEi.jpg","View")</f>
        <v>View</v>
      </c>
    </row>
    <row r="918" spans="1:21" ht="61.2">
      <c r="A918" s="6">
        <v>43420.879490740743</v>
      </c>
      <c r="B918" s="7" t="str">
        <f>HYPERLINK("https://twitter.com/siemprebrumoso","@siemprebrumoso")</f>
        <v>@siemprebrumoso</v>
      </c>
      <c r="C918" s="8" t="s">
        <v>3154</v>
      </c>
      <c r="D918" s="9" t="s">
        <v>3155</v>
      </c>
      <c r="E918" s="10" t="str">
        <f>HYPERLINK("https://twitter.com/siemprebrumoso/status/1063523720667586564","1063523720667586564")</f>
        <v>1063523720667586564</v>
      </c>
      <c r="F918" s="12"/>
      <c r="G918" s="12"/>
      <c r="H918" s="12"/>
      <c r="I918" s="13">
        <v>0</v>
      </c>
      <c r="J918" s="13">
        <v>0</v>
      </c>
      <c r="K918" s="14" t="str">
        <f t="shared" si="269"/>
        <v>Twitter for Android</v>
      </c>
      <c r="L918" s="13">
        <v>45</v>
      </c>
      <c r="M918" s="13">
        <v>255</v>
      </c>
      <c r="N918" s="13">
        <v>0</v>
      </c>
      <c r="O918" s="15"/>
      <c r="P918" s="6">
        <v>41384.775497685187</v>
      </c>
      <c r="Q918" s="16" t="s">
        <v>3156</v>
      </c>
      <c r="R918" s="17" t="s">
        <v>3157</v>
      </c>
      <c r="S918" s="12"/>
      <c r="T918" s="12"/>
      <c r="U918" s="10" t="str">
        <f>HYPERLINK("https://pbs.twimg.com/profile_images/1049303273205878785/GOkLtN3_.jpg","View")</f>
        <v>View</v>
      </c>
    </row>
    <row r="919" spans="1:21" ht="30.6">
      <c r="A919" s="6">
        <v>43420.876388888893</v>
      </c>
      <c r="B919" s="7" t="str">
        <f>HYPERLINK("https://twitter.com/alfilvaliente","@alfilvaliente")</f>
        <v>@alfilvaliente</v>
      </c>
      <c r="C919" s="8" t="s">
        <v>63</v>
      </c>
      <c r="D919" s="9" t="s">
        <v>3158</v>
      </c>
      <c r="E919" s="10" t="str">
        <f>HYPERLINK("https://twitter.com/alfilvaliente/status/1063522593557364746","1063522593557364746")</f>
        <v>1063522593557364746</v>
      </c>
      <c r="F919" s="11" t="s">
        <v>3159</v>
      </c>
      <c r="G919" s="12"/>
      <c r="H919" s="12"/>
      <c r="I919" s="13">
        <v>0</v>
      </c>
      <c r="J919" s="13">
        <v>0</v>
      </c>
      <c r="K919" s="14" t="str">
        <f t="shared" si="269"/>
        <v>Twitter for Android</v>
      </c>
      <c r="L919" s="13">
        <v>140</v>
      </c>
      <c r="M919" s="13">
        <v>175</v>
      </c>
      <c r="N919" s="13">
        <v>2</v>
      </c>
      <c r="O919" s="15"/>
      <c r="P919" s="6">
        <v>42155.723541666666</v>
      </c>
      <c r="Q919" s="16" t="s">
        <v>66</v>
      </c>
      <c r="R919" s="17" t="s">
        <v>67</v>
      </c>
      <c r="S919" s="12"/>
      <c r="T919" s="12"/>
      <c r="U919" s="10" t="str">
        <f>HYPERLINK("https://pbs.twimg.com/profile_images/1048557989513322496/MOej_hMM.jpg","View")</f>
        <v>View</v>
      </c>
    </row>
    <row r="920" spans="1:21" ht="51">
      <c r="A920" s="6">
        <v>43420.876388888893</v>
      </c>
      <c r="B920" s="7" t="str">
        <f>HYPERLINK("https://twitter.com/bitMomentum","@bitMomentum")</f>
        <v>@bitMomentum</v>
      </c>
      <c r="C920" s="8" t="s">
        <v>368</v>
      </c>
      <c r="D920" s="9" t="s">
        <v>3160</v>
      </c>
      <c r="E920" s="10" t="str">
        <f>HYPERLINK("https://twitter.com/bitMomentum/status/1063522593280573442","1063522593280573442")</f>
        <v>1063522593280573442</v>
      </c>
      <c r="F920" s="12"/>
      <c r="G920" s="12"/>
      <c r="H920" s="12"/>
      <c r="I920" s="13">
        <v>0</v>
      </c>
      <c r="J920" s="13">
        <v>1</v>
      </c>
      <c r="K920" s="14" t="str">
        <f>HYPERLINK("http://www.bitmomentum.com","bitMomentum Bot")</f>
        <v>bitMomentum Bot</v>
      </c>
      <c r="L920" s="13">
        <v>10132</v>
      </c>
      <c r="M920" s="13">
        <v>1060</v>
      </c>
      <c r="N920" s="13">
        <v>267</v>
      </c>
      <c r="O920" s="15"/>
      <c r="P920" s="6">
        <v>41608.667511574073</v>
      </c>
      <c r="Q920" s="12"/>
      <c r="R920" s="17" t="s">
        <v>371</v>
      </c>
      <c r="S920" s="11" t="s">
        <v>372</v>
      </c>
      <c r="T920" s="12"/>
      <c r="U920" s="10" t="str">
        <f>HYPERLINK("https://pbs.twimg.com/profile_images/378800000862185241/20ij2H3u.png","View")</f>
        <v>View</v>
      </c>
    </row>
    <row r="921" spans="1:21" ht="51">
      <c r="A921" s="6">
        <v>43420.873668981483</v>
      </c>
      <c r="B921" s="7" t="str">
        <f>HYPERLINK("https://twitter.com/canasporespana","@canasporespana")</f>
        <v>@canasporespana</v>
      </c>
      <c r="C921" s="8" t="s">
        <v>2720</v>
      </c>
      <c r="D921" s="9" t="s">
        <v>3161</v>
      </c>
      <c r="E921" s="10" t="str">
        <f>HYPERLINK("https://twitter.com/canasporespana/status/1063521608978055169","1063521608978055169")</f>
        <v>1063521608978055169</v>
      </c>
      <c r="F921" s="12"/>
      <c r="G921" s="11" t="s">
        <v>3091</v>
      </c>
      <c r="H921" s="12"/>
      <c r="I921" s="13">
        <v>371</v>
      </c>
      <c r="J921" s="13">
        <v>663</v>
      </c>
      <c r="K921" s="14" t="str">
        <f t="shared" ref="K921:K922" si="270">HYPERLINK("http://twitter.com/download/android","Twitter for Android")</f>
        <v>Twitter for Android</v>
      </c>
      <c r="L921" s="13">
        <v>6219</v>
      </c>
      <c r="M921" s="13">
        <v>266</v>
      </c>
      <c r="N921" s="13">
        <v>40</v>
      </c>
      <c r="O921" s="15"/>
      <c r="P921" s="6">
        <v>42712.424108796295</v>
      </c>
      <c r="Q921" s="16" t="s">
        <v>66</v>
      </c>
      <c r="R921" s="17" t="s">
        <v>2723</v>
      </c>
      <c r="S921" s="11" t="s">
        <v>2724</v>
      </c>
      <c r="T921" s="12"/>
      <c r="U921" s="10" t="str">
        <f>HYPERLINK("https://pbs.twimg.com/profile_images/1035610115146170368/_VF2Ge_a.jpg","View")</f>
        <v>View</v>
      </c>
    </row>
    <row r="922" spans="1:21" ht="61.2">
      <c r="A922" s="6">
        <v>43420.873229166667</v>
      </c>
      <c r="B922" s="7" t="str">
        <f>HYPERLINK("https://twitter.com/VOXSevilla","@VOXSevilla")</f>
        <v>@VOXSevilla</v>
      </c>
      <c r="C922" s="8" t="s">
        <v>3101</v>
      </c>
      <c r="D922" s="9" t="s">
        <v>3163</v>
      </c>
      <c r="E922" s="10" t="str">
        <f>HYPERLINK("https://twitter.com/VOXSevilla/status/1063521449762279425","1063521449762279425")</f>
        <v>1063521449762279425</v>
      </c>
      <c r="F922" s="12"/>
      <c r="G922" s="11" t="s">
        <v>3165</v>
      </c>
      <c r="H922" s="12"/>
      <c r="I922" s="13">
        <v>60</v>
      </c>
      <c r="J922" s="13">
        <v>108</v>
      </c>
      <c r="K922" s="14" t="str">
        <f t="shared" si="270"/>
        <v>Twitter for Android</v>
      </c>
      <c r="L922" s="13">
        <v>7726</v>
      </c>
      <c r="M922" s="13">
        <v>1534</v>
      </c>
      <c r="N922" s="13">
        <v>67</v>
      </c>
      <c r="O922" s="15"/>
      <c r="P922" s="6">
        <v>41691.750023148146</v>
      </c>
      <c r="Q922" s="16" t="s">
        <v>3105</v>
      </c>
      <c r="R922" s="17" t="s">
        <v>3106</v>
      </c>
      <c r="S922" s="11" t="s">
        <v>3107</v>
      </c>
      <c r="T922" s="12"/>
      <c r="U922" s="10" t="str">
        <f>HYPERLINK("https://pbs.twimg.com/profile_images/984861064704774146/oJ_70XfQ.jpg","View")</f>
        <v>View</v>
      </c>
    </row>
    <row r="923" spans="1:21" ht="40.799999999999997">
      <c r="A923" s="6">
        <v>43420.871064814812</v>
      </c>
      <c r="B923" s="7" t="str">
        <f>HYPERLINK("https://twitter.com/carmentorrres","@carmentorrres")</f>
        <v>@carmentorrres</v>
      </c>
      <c r="C923" s="8" t="s">
        <v>2799</v>
      </c>
      <c r="D923" s="9" t="s">
        <v>3167</v>
      </c>
      <c r="E923" s="10" t="str">
        <f>HYPERLINK("https://twitter.com/carmentorrres/status/1063520663548436485","1063520663548436485")</f>
        <v>1063520663548436485</v>
      </c>
      <c r="F923" s="12"/>
      <c r="G923" s="11" t="s">
        <v>2296</v>
      </c>
      <c r="H923" s="12"/>
      <c r="I923" s="13">
        <v>60</v>
      </c>
      <c r="J923" s="13">
        <v>131</v>
      </c>
      <c r="K923" s="14" t="str">
        <f t="shared" ref="K923:K926" si="271">HYPERLINK("http://twitter.com/download/iphone","Twitter for iPhone")</f>
        <v>Twitter for iPhone</v>
      </c>
      <c r="L923" s="13">
        <v>9640</v>
      </c>
      <c r="M923" s="13">
        <v>2655</v>
      </c>
      <c r="N923" s="13">
        <v>271</v>
      </c>
      <c r="O923" s="15"/>
      <c r="P923" s="6">
        <v>40670.752314814818</v>
      </c>
      <c r="Q923" s="12"/>
      <c r="R923" s="17" t="s">
        <v>2802</v>
      </c>
      <c r="S923" s="11" t="s">
        <v>2803</v>
      </c>
      <c r="T923" s="12"/>
      <c r="U923" s="10" t="str">
        <f>HYPERLINK("https://pbs.twimg.com/profile_images/1036877914200059907/rvJfFmsF.jpg","View")</f>
        <v>View</v>
      </c>
    </row>
    <row r="924" spans="1:21" ht="71.400000000000006">
      <c r="A924" s="6">
        <v>43420.870509259257</v>
      </c>
      <c r="B924" s="7" t="str">
        <f>HYPERLINK("https://twitter.com/007JamesBoon","@007JamesBoon")</f>
        <v>@007JamesBoon</v>
      </c>
      <c r="C924" s="8" t="s">
        <v>1287</v>
      </c>
      <c r="D924" s="9" t="s">
        <v>3168</v>
      </c>
      <c r="E924" s="10" t="str">
        <f>HYPERLINK("https://twitter.com/007JamesBoon/status/1063520462817378304","1063520462817378304")</f>
        <v>1063520462817378304</v>
      </c>
      <c r="F924" s="11" t="s">
        <v>3169</v>
      </c>
      <c r="G924" s="12"/>
      <c r="H924" s="12"/>
      <c r="I924" s="13">
        <v>0</v>
      </c>
      <c r="J924" s="13">
        <v>0</v>
      </c>
      <c r="K924" s="14" t="str">
        <f t="shared" si="271"/>
        <v>Twitter for iPhone</v>
      </c>
      <c r="L924" s="13">
        <v>49</v>
      </c>
      <c r="M924" s="13">
        <v>382</v>
      </c>
      <c r="N924" s="13">
        <v>0</v>
      </c>
      <c r="O924" s="15"/>
      <c r="P924" s="6">
        <v>43010.668425925927</v>
      </c>
      <c r="Q924" s="12"/>
      <c r="R924" s="17" t="s">
        <v>1293</v>
      </c>
      <c r="S924" s="12"/>
      <c r="T924" s="12"/>
      <c r="U924" s="10" t="str">
        <f>HYPERLINK("https://pbs.twimg.com/profile_images/1034198868395810816/7-ydsnDS.jpg","View")</f>
        <v>View</v>
      </c>
    </row>
    <row r="925" spans="1:21" ht="81.599999999999994">
      <c r="A925" s="6">
        <v>43420.869675925926</v>
      </c>
      <c r="B925" s="7" t="str">
        <f>HYPERLINK("https://twitter.com/FG72373327","@FG72373327")</f>
        <v>@FG72373327</v>
      </c>
      <c r="C925" s="8" t="s">
        <v>3170</v>
      </c>
      <c r="D925" s="9" t="s">
        <v>3171</v>
      </c>
      <c r="E925" s="10" t="str">
        <f>HYPERLINK("https://twitter.com/FG72373327/status/1063520163826413568","1063520163826413568")</f>
        <v>1063520163826413568</v>
      </c>
      <c r="F925" s="16" t="s">
        <v>3172</v>
      </c>
      <c r="G925" s="12"/>
      <c r="H925" s="12"/>
      <c r="I925" s="13">
        <v>0</v>
      </c>
      <c r="J925" s="13">
        <v>0</v>
      </c>
      <c r="K925" s="14" t="str">
        <f t="shared" si="271"/>
        <v>Twitter for iPhone</v>
      </c>
      <c r="L925" s="13">
        <v>861</v>
      </c>
      <c r="M925" s="13">
        <v>886</v>
      </c>
      <c r="N925" s="13">
        <v>6</v>
      </c>
      <c r="O925" s="15"/>
      <c r="P925" s="6">
        <v>42977.396006944444</v>
      </c>
      <c r="Q925" s="16" t="s">
        <v>44</v>
      </c>
      <c r="R925" s="21"/>
      <c r="S925" s="12"/>
      <c r="T925" s="12"/>
      <c r="U925" s="10" t="str">
        <f>HYPERLINK("https://pbs.twimg.com/profile_images/902802729009111040/RUuGyEn7.jpg","View")</f>
        <v>View</v>
      </c>
    </row>
    <row r="926" spans="1:21" ht="40.799999999999997">
      <c r="A926" s="6">
        <v>43420.86246527778</v>
      </c>
      <c r="B926" s="7" t="str">
        <f>HYPERLINK("https://twitter.com/FSerranoCastro","@FSerranoCastro")</f>
        <v>@FSerranoCastro</v>
      </c>
      <c r="C926" s="8" t="s">
        <v>3790</v>
      </c>
      <c r="D926" s="9" t="s">
        <v>3791</v>
      </c>
      <c r="E926" s="10" t="str">
        <f>HYPERLINK("https://twitter.com/FSerranoCastro/status/1063517547155386368","1063517547155386368")</f>
        <v>1063517547155386368</v>
      </c>
      <c r="F926" s="12"/>
      <c r="G926" s="11" t="s">
        <v>3793</v>
      </c>
      <c r="H926" s="12"/>
      <c r="I926" s="13">
        <v>176</v>
      </c>
      <c r="J926" s="13">
        <v>352</v>
      </c>
      <c r="K926" s="14" t="str">
        <f t="shared" si="271"/>
        <v>Twitter for iPhone</v>
      </c>
      <c r="L926" s="13">
        <v>10413</v>
      </c>
      <c r="M926" s="13">
        <v>2576</v>
      </c>
      <c r="N926" s="13">
        <v>104</v>
      </c>
      <c r="O926" s="15"/>
      <c r="P926" s="6">
        <v>41368.572291666671</v>
      </c>
      <c r="Q926" s="16" t="s">
        <v>1483</v>
      </c>
      <c r="R926" s="17" t="s">
        <v>3794</v>
      </c>
      <c r="S926" s="12"/>
      <c r="T926" s="12"/>
      <c r="U926" s="10" t="str">
        <f>HYPERLINK("https://pbs.twimg.com/profile_images/1061962485996118016/dvXqGQjc.jpg","View")</f>
        <v>View</v>
      </c>
    </row>
    <row r="927" spans="1:21" ht="40.799999999999997">
      <c r="A927" s="6">
        <v>43420.856759259259</v>
      </c>
      <c r="B927" s="7" t="str">
        <f>HYPERLINK("https://twitter.com/gilbertovaladez","@gilbertovaladez")</f>
        <v>@gilbertovaladez</v>
      </c>
      <c r="C927" s="8" t="s">
        <v>3174</v>
      </c>
      <c r="D927" s="9" t="s">
        <v>3175</v>
      </c>
      <c r="E927" s="10" t="str">
        <f>HYPERLINK("https://twitter.com/gilbertovaladez/status/1063515482437939203","1063515482437939203")</f>
        <v>1063515482437939203</v>
      </c>
      <c r="F927" s="12"/>
      <c r="G927" s="12"/>
      <c r="H927" s="12"/>
      <c r="I927" s="13">
        <v>0</v>
      </c>
      <c r="J927" s="13">
        <v>0</v>
      </c>
      <c r="K927" s="14" t="str">
        <f>HYPERLINK("http://twitter.com","Twitter Web Client")</f>
        <v>Twitter Web Client</v>
      </c>
      <c r="L927" s="13">
        <v>912</v>
      </c>
      <c r="M927" s="13">
        <v>875</v>
      </c>
      <c r="N927" s="13">
        <v>28</v>
      </c>
      <c r="O927" s="15"/>
      <c r="P927" s="6">
        <v>40180.259398148148</v>
      </c>
      <c r="Q927" s="16" t="s">
        <v>3176</v>
      </c>
      <c r="R927" s="17" t="s">
        <v>3177</v>
      </c>
      <c r="S927" s="11" t="s">
        <v>3178</v>
      </c>
      <c r="T927" s="12"/>
      <c r="U927" s="10" t="str">
        <f>HYPERLINK("https://pbs.twimg.com/profile_images/1062162684592955392/T-lHlmRv.jpg","View")</f>
        <v>View</v>
      </c>
    </row>
    <row r="928" spans="1:21" ht="20.399999999999999">
      <c r="A928" s="6">
        <v>43420.856574074074</v>
      </c>
      <c r="B928" s="7" t="str">
        <f>HYPERLINK("https://twitter.com/JavierJ67840778","@JavierJ67840778")</f>
        <v>@JavierJ67840778</v>
      </c>
      <c r="C928" s="8" t="s">
        <v>416</v>
      </c>
      <c r="D928" s="9" t="s">
        <v>3179</v>
      </c>
      <c r="E928" s="10" t="str">
        <f>HYPERLINK("https://twitter.com/JavierJ67840778/status/1063515413382918146","1063515413382918146")</f>
        <v>1063515413382918146</v>
      </c>
      <c r="F928" s="12"/>
      <c r="G928" s="11" t="s">
        <v>3181</v>
      </c>
      <c r="H928" s="12"/>
      <c r="I928" s="13">
        <v>1</v>
      </c>
      <c r="J928" s="13">
        <v>4</v>
      </c>
      <c r="K928" s="14" t="str">
        <f>HYPERLINK("http://twitter.com/download/android","Twitter for Android")</f>
        <v>Twitter for Android</v>
      </c>
      <c r="L928" s="13">
        <v>2251</v>
      </c>
      <c r="M928" s="13">
        <v>4154</v>
      </c>
      <c r="N928" s="13">
        <v>9</v>
      </c>
      <c r="O928" s="15"/>
      <c r="P928" s="6">
        <v>42205.888761574075</v>
      </c>
      <c r="Q928" s="12"/>
      <c r="R928" s="17" t="s">
        <v>419</v>
      </c>
      <c r="S928" s="12"/>
      <c r="T928" s="12"/>
      <c r="U928" s="10" t="str">
        <f>HYPERLINK("https://pbs.twimg.com/profile_images/1031281973258604544/1sqSdUNc.jpg","View")</f>
        <v>View</v>
      </c>
    </row>
    <row r="929" spans="1:21" ht="20.399999999999999">
      <c r="A929" s="6">
        <v>43420.849131944444</v>
      </c>
      <c r="B929" s="7" t="str">
        <f>HYPERLINK("https://twitter.com/carmentorrres","@carmentorrres")</f>
        <v>@carmentorrres</v>
      </c>
      <c r="C929" s="8" t="s">
        <v>2799</v>
      </c>
      <c r="D929" s="9" t="s">
        <v>3183</v>
      </c>
      <c r="E929" s="10" t="str">
        <f>HYPERLINK("https://twitter.com/carmentorrres/status/1063512716009242625","1063512716009242625")</f>
        <v>1063512716009242625</v>
      </c>
      <c r="F929" s="12"/>
      <c r="G929" s="11" t="s">
        <v>3184</v>
      </c>
      <c r="H929" s="12"/>
      <c r="I929" s="13">
        <v>13</v>
      </c>
      <c r="J929" s="13">
        <v>20</v>
      </c>
      <c r="K929" s="14" t="str">
        <f>HYPERLINK("http://twitter.com/download/iphone","Twitter for iPhone")</f>
        <v>Twitter for iPhone</v>
      </c>
      <c r="L929" s="13">
        <v>9640</v>
      </c>
      <c r="M929" s="13">
        <v>2655</v>
      </c>
      <c r="N929" s="13">
        <v>271</v>
      </c>
      <c r="O929" s="15"/>
      <c r="P929" s="6">
        <v>40670.752314814818</v>
      </c>
      <c r="Q929" s="12"/>
      <c r="R929" s="17" t="s">
        <v>2802</v>
      </c>
      <c r="S929" s="11" t="s">
        <v>2803</v>
      </c>
      <c r="T929" s="12"/>
      <c r="U929" s="10" t="str">
        <f>HYPERLINK("https://pbs.twimg.com/profile_images/1036877914200059907/rvJfFmsF.jpg","View")</f>
        <v>View</v>
      </c>
    </row>
    <row r="930" spans="1:21" ht="40.799999999999997">
      <c r="A930" s="6">
        <v>43420.847673611112</v>
      </c>
      <c r="B930" s="7" t="str">
        <f>HYPERLINK("https://twitter.com/FOROSN","@FOROSN")</f>
        <v>@FOROSN</v>
      </c>
      <c r="C930" s="8" t="s">
        <v>3187</v>
      </c>
      <c r="D930" s="9" t="s">
        <v>3188</v>
      </c>
      <c r="E930" s="10" t="str">
        <f>HYPERLINK("https://twitter.com/FOROSN/status/1063512186851602434","1063512186851602434")</f>
        <v>1063512186851602434</v>
      </c>
      <c r="F930" s="12"/>
      <c r="G930" s="11" t="s">
        <v>3190</v>
      </c>
      <c r="H930" s="12"/>
      <c r="I930" s="13">
        <v>8</v>
      </c>
      <c r="J930" s="13">
        <v>16</v>
      </c>
      <c r="K930" s="14" t="str">
        <f t="shared" ref="K930:K931" si="272">HYPERLINK("http://twitter.com/download/android","Twitter for Android")</f>
        <v>Twitter for Android</v>
      </c>
      <c r="L930" s="13">
        <v>1112</v>
      </c>
      <c r="M930" s="13">
        <v>2079</v>
      </c>
      <c r="N930" s="13">
        <v>33</v>
      </c>
      <c r="O930" s="15"/>
      <c r="P930" s="6">
        <v>40624.950069444443</v>
      </c>
      <c r="Q930" s="16" t="s">
        <v>34</v>
      </c>
      <c r="R930" s="17" t="s">
        <v>3193</v>
      </c>
      <c r="S930" s="11" t="s">
        <v>3194</v>
      </c>
      <c r="T930" s="12"/>
      <c r="U930" s="10" t="str">
        <f>HYPERLINK("https://pbs.twimg.com/profile_images/772147959693803520/u_WZSttw.jpg","View")</f>
        <v>View</v>
      </c>
    </row>
    <row r="931" spans="1:21" ht="61.2">
      <c r="A931" s="6">
        <v>43420.837581018517</v>
      </c>
      <c r="B931" s="7" t="str">
        <f>HYPERLINK("https://twitter.com/lunadebenidorm","@lunadebenidorm")</f>
        <v>@lunadebenidorm</v>
      </c>
      <c r="C931" s="8" t="s">
        <v>106</v>
      </c>
      <c r="D931" s="9" t="s">
        <v>3195</v>
      </c>
      <c r="E931" s="10" t="str">
        <f>HYPERLINK("https://twitter.com/lunadebenidorm/status/1063508531750555648","1063508531750555648")</f>
        <v>1063508531750555648</v>
      </c>
      <c r="F931" s="12"/>
      <c r="G931" s="11" t="s">
        <v>3196</v>
      </c>
      <c r="H931" s="12"/>
      <c r="I931" s="13">
        <v>0</v>
      </c>
      <c r="J931" s="13">
        <v>0</v>
      </c>
      <c r="K931" s="14" t="str">
        <f t="shared" si="272"/>
        <v>Twitter for Android</v>
      </c>
      <c r="L931" s="13">
        <v>3991</v>
      </c>
      <c r="M931" s="13">
        <v>3978</v>
      </c>
      <c r="N931" s="13">
        <v>79</v>
      </c>
      <c r="O931" s="15"/>
      <c r="P931" s="6">
        <v>41461.81186342593</v>
      </c>
      <c r="Q931" s="12"/>
      <c r="R931" s="17" t="s">
        <v>108</v>
      </c>
      <c r="S931" s="12"/>
      <c r="T931" s="12"/>
      <c r="U931" s="10" t="str">
        <f>HYPERLINK("https://pbs.twimg.com/profile_images/1061229593758257153/rePCQt08.jpg","View")</f>
        <v>View</v>
      </c>
    </row>
    <row r="932" spans="1:21" ht="51">
      <c r="A932" s="6">
        <v>43420.834722222222</v>
      </c>
      <c r="B932" s="7" t="str">
        <f>HYPERLINK("https://twitter.com/bitMomentum","@bitMomentum")</f>
        <v>@bitMomentum</v>
      </c>
      <c r="C932" s="8" t="s">
        <v>368</v>
      </c>
      <c r="D932" s="9" t="s">
        <v>3197</v>
      </c>
      <c r="E932" s="10" t="str">
        <f>HYPERLINK("https://twitter.com/bitMomentum/status/1063507493622562816","1063507493622562816")</f>
        <v>1063507493622562816</v>
      </c>
      <c r="F932" s="12"/>
      <c r="G932" s="12"/>
      <c r="H932" s="12"/>
      <c r="I932" s="13">
        <v>0</v>
      </c>
      <c r="J932" s="13">
        <v>0</v>
      </c>
      <c r="K932" s="14" t="str">
        <f>HYPERLINK("http://www.bitmomentum.com","bitMomentum Bot")</f>
        <v>bitMomentum Bot</v>
      </c>
      <c r="L932" s="13">
        <v>10132</v>
      </c>
      <c r="M932" s="13">
        <v>1060</v>
      </c>
      <c r="N932" s="13">
        <v>267</v>
      </c>
      <c r="O932" s="15"/>
      <c r="P932" s="6">
        <v>41608.667511574073</v>
      </c>
      <c r="Q932" s="12"/>
      <c r="R932" s="17" t="s">
        <v>371</v>
      </c>
      <c r="S932" s="11" t="s">
        <v>372</v>
      </c>
      <c r="T932" s="12"/>
      <c r="U932" s="10" t="str">
        <f>HYPERLINK("https://pbs.twimg.com/profile_images/378800000862185241/20ij2H3u.png","View")</f>
        <v>View</v>
      </c>
    </row>
    <row r="933" spans="1:21" ht="61.2">
      <c r="A933" s="6">
        <v>43420.834421296298</v>
      </c>
      <c r="B933" s="7" t="str">
        <f t="shared" ref="B933:B934" si="273">HYPERLINK("https://twitter.com/lunadebenidorm","@lunadebenidorm")</f>
        <v>@lunadebenidorm</v>
      </c>
      <c r="C933" s="8" t="s">
        <v>106</v>
      </c>
      <c r="D933" s="9" t="s">
        <v>3198</v>
      </c>
      <c r="E933" s="10" t="str">
        <f>HYPERLINK("https://twitter.com/lunadebenidorm/status/1063507386395238411","1063507386395238411")</f>
        <v>1063507386395238411</v>
      </c>
      <c r="F933" s="12"/>
      <c r="G933" s="11" t="s">
        <v>3199</v>
      </c>
      <c r="H933" s="12"/>
      <c r="I933" s="13">
        <v>18</v>
      </c>
      <c r="J933" s="13">
        <v>30</v>
      </c>
      <c r="K933" s="14" t="str">
        <f t="shared" ref="K933:K935" si="274">HYPERLINK("http://twitter.com/download/android","Twitter for Android")</f>
        <v>Twitter for Android</v>
      </c>
      <c r="L933" s="13">
        <v>3991</v>
      </c>
      <c r="M933" s="13">
        <v>3978</v>
      </c>
      <c r="N933" s="13">
        <v>79</v>
      </c>
      <c r="O933" s="15"/>
      <c r="P933" s="6">
        <v>41461.81186342593</v>
      </c>
      <c r="Q933" s="12"/>
      <c r="R933" s="17" t="s">
        <v>108</v>
      </c>
      <c r="S933" s="12"/>
      <c r="T933" s="12"/>
      <c r="U933" s="10" t="str">
        <f t="shared" ref="U933:U934" si="275">HYPERLINK("https://pbs.twimg.com/profile_images/1061229593758257153/rePCQt08.jpg","View")</f>
        <v>View</v>
      </c>
    </row>
    <row r="934" spans="1:21" ht="71.400000000000006">
      <c r="A934" s="6">
        <v>43420.828599537039</v>
      </c>
      <c r="B934" s="7" t="str">
        <f t="shared" si="273"/>
        <v>@lunadebenidorm</v>
      </c>
      <c r="C934" s="8" t="s">
        <v>106</v>
      </c>
      <c r="D934" s="9" t="s">
        <v>3200</v>
      </c>
      <c r="E934" s="10" t="str">
        <f>HYPERLINK("https://twitter.com/lunadebenidorm/status/1063505277889191936","1063505277889191936")</f>
        <v>1063505277889191936</v>
      </c>
      <c r="F934" s="11" t="s">
        <v>3201</v>
      </c>
      <c r="G934" s="12"/>
      <c r="H934" s="12"/>
      <c r="I934" s="13">
        <v>0</v>
      </c>
      <c r="J934" s="13">
        <v>0</v>
      </c>
      <c r="K934" s="14" t="str">
        <f t="shared" si="274"/>
        <v>Twitter for Android</v>
      </c>
      <c r="L934" s="13">
        <v>3991</v>
      </c>
      <c r="M934" s="13">
        <v>3978</v>
      </c>
      <c r="N934" s="13">
        <v>79</v>
      </c>
      <c r="O934" s="15"/>
      <c r="P934" s="6">
        <v>41461.81186342593</v>
      </c>
      <c r="Q934" s="12"/>
      <c r="R934" s="17" t="s">
        <v>108</v>
      </c>
      <c r="S934" s="12"/>
      <c r="T934" s="12"/>
      <c r="U934" s="10" t="str">
        <f t="shared" si="275"/>
        <v>View</v>
      </c>
    </row>
    <row r="935" spans="1:21" ht="51">
      <c r="A935" s="6">
        <v>43420.827951388885</v>
      </c>
      <c r="B935" s="7" t="str">
        <f>HYPERLINK("https://twitter.com/Santi_ABASCAL","@Santi_ABASCAL")</f>
        <v>@Santi_ABASCAL</v>
      </c>
      <c r="C935" s="8" t="s">
        <v>182</v>
      </c>
      <c r="D935" s="9" t="s">
        <v>3832</v>
      </c>
      <c r="E935" s="10" t="str">
        <f>HYPERLINK("https://twitter.com/Santi_ABASCAL/status/1063505040206368768","1063505040206368768")</f>
        <v>1063505040206368768</v>
      </c>
      <c r="F935" s="16" t="s">
        <v>3834</v>
      </c>
      <c r="G935" s="12"/>
      <c r="H935" s="12"/>
      <c r="I935" s="13">
        <v>2129</v>
      </c>
      <c r="J935" s="13">
        <v>4517</v>
      </c>
      <c r="K935" s="14" t="str">
        <f t="shared" si="274"/>
        <v>Twitter for Android</v>
      </c>
      <c r="L935" s="13">
        <v>117602</v>
      </c>
      <c r="M935" s="13">
        <v>3896</v>
      </c>
      <c r="N935" s="13">
        <v>915</v>
      </c>
      <c r="O935" s="23" t="s">
        <v>186</v>
      </c>
      <c r="P935" s="6">
        <v>40606.716446759259</v>
      </c>
      <c r="Q935" s="16" t="s">
        <v>188</v>
      </c>
      <c r="R935" s="17" t="s">
        <v>189</v>
      </c>
      <c r="S935" s="11" t="s">
        <v>190</v>
      </c>
      <c r="T935" s="12"/>
      <c r="U935" s="10" t="str">
        <f>HYPERLINK("https://pbs.twimg.com/profile_images/1010488787686879232/2CnqYKlD.jpg","View")</f>
        <v>View</v>
      </c>
    </row>
    <row r="936" spans="1:21" ht="30.6">
      <c r="A936" s="6">
        <v>43420.826053240744</v>
      </c>
      <c r="B936" s="7" t="str">
        <f>HYPERLINK("https://twitter.com/barcia_carlos","@barcia_carlos")</f>
        <v>@barcia_carlos</v>
      </c>
      <c r="C936" s="8" t="s">
        <v>3837</v>
      </c>
      <c r="D936" s="9" t="s">
        <v>3838</v>
      </c>
      <c r="E936" s="10" t="str">
        <f>HYPERLINK("https://twitter.com/barcia_carlos/status/1063504352105644034","1063504352105644034")</f>
        <v>1063504352105644034</v>
      </c>
      <c r="F936" s="11" t="s">
        <v>3839</v>
      </c>
      <c r="G936" s="12"/>
      <c r="H936" s="12"/>
      <c r="I936" s="13">
        <v>0</v>
      </c>
      <c r="J936" s="13">
        <v>0</v>
      </c>
      <c r="K936" s="14" t="str">
        <f>HYPERLINK("http://www.facebook.com/twitter","Facebook")</f>
        <v>Facebook</v>
      </c>
      <c r="L936" s="13">
        <v>128</v>
      </c>
      <c r="M936" s="13">
        <v>324</v>
      </c>
      <c r="N936" s="13">
        <v>0</v>
      </c>
      <c r="O936" s="15"/>
      <c r="P936" s="6">
        <v>40938.424699074072</v>
      </c>
      <c r="Q936" s="16" t="s">
        <v>3842</v>
      </c>
      <c r="R936" s="17" t="s">
        <v>3843</v>
      </c>
      <c r="S936" s="12"/>
      <c r="T936" s="12"/>
      <c r="U936" s="10" t="str">
        <f>HYPERLINK("https://pbs.twimg.com/profile_images/514884031805407233/efoWebhG.jpeg","View")</f>
        <v>View</v>
      </c>
    </row>
    <row r="937" spans="1:21" ht="20.399999999999999">
      <c r="A937" s="6">
        <v>43420.817384259259</v>
      </c>
      <c r="B937" s="7" t="str">
        <f>HYPERLINK("https://twitter.com/lunadebenidorm","@lunadebenidorm")</f>
        <v>@lunadebenidorm</v>
      </c>
      <c r="C937" s="8" t="s">
        <v>106</v>
      </c>
      <c r="D937" s="9" t="s">
        <v>3845</v>
      </c>
      <c r="E937" s="10" t="str">
        <f>HYPERLINK("https://twitter.com/lunadebenidorm/status/1063501210924257280","1063501210924257280")</f>
        <v>1063501210924257280</v>
      </c>
      <c r="F937" s="12"/>
      <c r="G937" s="11" t="s">
        <v>3846</v>
      </c>
      <c r="H937" s="12"/>
      <c r="I937" s="13">
        <v>0</v>
      </c>
      <c r="J937" s="13">
        <v>1</v>
      </c>
      <c r="K937" s="14" t="str">
        <f>HYPERLINK("http://twitter.com/download/android","Twitter for Android")</f>
        <v>Twitter for Android</v>
      </c>
      <c r="L937" s="13">
        <v>3991</v>
      </c>
      <c r="M937" s="13">
        <v>3978</v>
      </c>
      <c r="N937" s="13">
        <v>79</v>
      </c>
      <c r="O937" s="15"/>
      <c r="P937" s="6">
        <v>41461.81186342593</v>
      </c>
      <c r="Q937" s="12"/>
      <c r="R937" s="17" t="s">
        <v>108</v>
      </c>
      <c r="S937" s="12"/>
      <c r="T937" s="12"/>
      <c r="U937" s="10" t="str">
        <f>HYPERLINK("https://pbs.twimg.com/profile_images/1061229593758257153/rePCQt08.jpg","View")</f>
        <v>View</v>
      </c>
    </row>
    <row r="938" spans="1:21" ht="51">
      <c r="A938" s="6">
        <v>43420.807986111111</v>
      </c>
      <c r="B938" s="7" t="str">
        <f>HYPERLINK("https://twitter.com/Disidencia_info","@Disidencia_info")</f>
        <v>@Disidencia_info</v>
      </c>
      <c r="C938" s="8" t="s">
        <v>3202</v>
      </c>
      <c r="D938" s="9" t="s">
        <v>3203</v>
      </c>
      <c r="E938" s="10" t="str">
        <f>HYPERLINK("https://twitter.com/Disidencia_info/status/1063497805111668737","1063497805111668737")</f>
        <v>1063497805111668737</v>
      </c>
      <c r="F938" s="11" t="s">
        <v>3204</v>
      </c>
      <c r="G938" s="12"/>
      <c r="H938" s="12"/>
      <c r="I938" s="13">
        <v>23</v>
      </c>
      <c r="J938" s="13">
        <v>24</v>
      </c>
      <c r="K938" s="14" t="str">
        <f>HYPERLINK("http://twitter.com","Twitter Web Client")</f>
        <v>Twitter Web Client</v>
      </c>
      <c r="L938" s="13">
        <v>3011</v>
      </c>
      <c r="M938" s="13">
        <v>2596</v>
      </c>
      <c r="N938" s="13">
        <v>23</v>
      </c>
      <c r="O938" s="15"/>
      <c r="P938" s="6">
        <v>42007.641122685185</v>
      </c>
      <c r="Q938" s="16" t="s">
        <v>3207</v>
      </c>
      <c r="R938" s="17" t="s">
        <v>3208</v>
      </c>
      <c r="S938" s="11" t="s">
        <v>3209</v>
      </c>
      <c r="T938" s="12"/>
      <c r="U938" s="10" t="str">
        <f>HYPERLINK("https://pbs.twimg.com/profile_images/594237743212933120/cTUXFzdr.jpg","View")</f>
        <v>View</v>
      </c>
    </row>
    <row r="939" spans="1:21" ht="13.2">
      <c r="A939" s="6">
        <v>43420.801805555559</v>
      </c>
      <c r="B939" s="7" t="str">
        <f>HYPERLINK("https://twitter.com/lunadebenidorm","@lunadebenidorm")</f>
        <v>@lunadebenidorm</v>
      </c>
      <c r="C939" s="8" t="s">
        <v>106</v>
      </c>
      <c r="D939" s="9" t="s">
        <v>1931</v>
      </c>
      <c r="E939" s="10" t="str">
        <f>HYPERLINK("https://twitter.com/lunadebenidorm/status/1063495565680492547","1063495565680492547")</f>
        <v>1063495565680492547</v>
      </c>
      <c r="F939" s="12"/>
      <c r="G939" s="11" t="s">
        <v>3213</v>
      </c>
      <c r="H939" s="12"/>
      <c r="I939" s="13">
        <v>0</v>
      </c>
      <c r="J939" s="13">
        <v>0</v>
      </c>
      <c r="K939" s="14" t="str">
        <f>HYPERLINK("http://twitter.com/download/android","Twitter for Android")</f>
        <v>Twitter for Android</v>
      </c>
      <c r="L939" s="13">
        <v>3991</v>
      </c>
      <c r="M939" s="13">
        <v>3978</v>
      </c>
      <c r="N939" s="13">
        <v>79</v>
      </c>
      <c r="O939" s="15"/>
      <c r="P939" s="6">
        <v>41461.81186342593</v>
      </c>
      <c r="Q939" s="12"/>
      <c r="R939" s="17" t="s">
        <v>108</v>
      </c>
      <c r="S939" s="12"/>
      <c r="T939" s="12"/>
      <c r="U939" s="10" t="str">
        <f>HYPERLINK("https://pbs.twimg.com/profile_images/1061229593758257153/rePCQt08.jpg","View")</f>
        <v>View</v>
      </c>
    </row>
    <row r="940" spans="1:21" ht="51">
      <c r="A940" s="6">
        <v>43420.777233796296</v>
      </c>
      <c r="B940" s="7" t="str">
        <f>HYPERLINK("https://twitter.com/robersanchez98","@robersanchez98")</f>
        <v>@robersanchez98</v>
      </c>
      <c r="C940" s="8" t="s">
        <v>2037</v>
      </c>
      <c r="D940" s="9" t="s">
        <v>3214</v>
      </c>
      <c r="E940" s="10" t="str">
        <f>HYPERLINK("https://twitter.com/robersanchez98/status/1063486660489502720","1063486660489502720")</f>
        <v>1063486660489502720</v>
      </c>
      <c r="F940" s="11" t="s">
        <v>3215</v>
      </c>
      <c r="G940" s="12"/>
      <c r="H940" s="12"/>
      <c r="I940" s="13">
        <v>1</v>
      </c>
      <c r="J940" s="13">
        <v>1</v>
      </c>
      <c r="K940" s="14" t="str">
        <f t="shared" ref="K940:K941" si="276">HYPERLINK("http://twitter.com","Twitter Web Client")</f>
        <v>Twitter Web Client</v>
      </c>
      <c r="L940" s="13">
        <v>239</v>
      </c>
      <c r="M940" s="13">
        <v>446</v>
      </c>
      <c r="N940" s="13">
        <v>9</v>
      </c>
      <c r="O940" s="15"/>
      <c r="P940" s="6">
        <v>41909.51258101852</v>
      </c>
      <c r="Q940" s="16" t="s">
        <v>1875</v>
      </c>
      <c r="R940" s="17" t="s">
        <v>2039</v>
      </c>
      <c r="S940" s="12"/>
      <c r="T940" s="12"/>
      <c r="U940" s="10" t="str">
        <f>HYPERLINK("https://pbs.twimg.com/profile_images/1031962076003147776/JvDVrA12.jpg","View")</f>
        <v>View</v>
      </c>
    </row>
    <row r="941" spans="1:21" ht="102">
      <c r="A941" s="6">
        <v>43420.771493055552</v>
      </c>
      <c r="B941" s="7" t="str">
        <f>HYPERLINK("https://twitter.com/Antonio29407099","@Antonio29407099")</f>
        <v>@Antonio29407099</v>
      </c>
      <c r="C941" s="8" t="s">
        <v>1371</v>
      </c>
      <c r="D941" s="9" t="s">
        <v>3858</v>
      </c>
      <c r="E941" s="10" t="str">
        <f>HYPERLINK("https://twitter.com/Antonio29407099/status/1063484583629459456","1063484583629459456")</f>
        <v>1063484583629459456</v>
      </c>
      <c r="F941" s="11" t="s">
        <v>3859</v>
      </c>
      <c r="G941" s="11" t="s">
        <v>3233</v>
      </c>
      <c r="H941" s="12"/>
      <c r="I941" s="13">
        <v>0</v>
      </c>
      <c r="J941" s="13">
        <v>1</v>
      </c>
      <c r="K941" s="14" t="str">
        <f t="shared" si="276"/>
        <v>Twitter Web Client</v>
      </c>
      <c r="L941" s="13">
        <v>409</v>
      </c>
      <c r="M941" s="13">
        <v>420</v>
      </c>
      <c r="N941" s="13">
        <v>8</v>
      </c>
      <c r="O941" s="15"/>
      <c r="P941" s="6">
        <v>40986.32503472222</v>
      </c>
      <c r="Q941" s="16" t="s">
        <v>1117</v>
      </c>
      <c r="R941" s="17" t="s">
        <v>1372</v>
      </c>
      <c r="S941" s="12"/>
      <c r="T941" s="12"/>
      <c r="U941" s="10" t="str">
        <f>HYPERLINK("https://pbs.twimg.com/profile_images/1065943948890382336/j9ezRSrk.jpg","View")</f>
        <v>View</v>
      </c>
    </row>
    <row r="942" spans="1:21" ht="40.799999999999997">
      <c r="A942" s="6">
        <v>43420.751388888893</v>
      </c>
      <c r="B942" s="7" t="str">
        <f>HYPERLINK("https://twitter.com/bitMomentum","@bitMomentum")</f>
        <v>@bitMomentum</v>
      </c>
      <c r="C942" s="8" t="s">
        <v>368</v>
      </c>
      <c r="D942" s="9" t="s">
        <v>3216</v>
      </c>
      <c r="E942" s="10" t="str">
        <f>HYPERLINK("https://twitter.com/bitMomentum/status/1063477294591864832","1063477294591864832")</f>
        <v>1063477294591864832</v>
      </c>
      <c r="F942" s="12"/>
      <c r="G942" s="12"/>
      <c r="H942" s="12"/>
      <c r="I942" s="13">
        <v>0</v>
      </c>
      <c r="J942" s="13">
        <v>1</v>
      </c>
      <c r="K942" s="14" t="str">
        <f>HYPERLINK("http://www.bitmomentum.com","bitMomentum Bot")</f>
        <v>bitMomentum Bot</v>
      </c>
      <c r="L942" s="13">
        <v>10132</v>
      </c>
      <c r="M942" s="13">
        <v>1060</v>
      </c>
      <c r="N942" s="13">
        <v>267</v>
      </c>
      <c r="O942" s="15"/>
      <c r="P942" s="6">
        <v>41608.667511574073</v>
      </c>
      <c r="Q942" s="12"/>
      <c r="R942" s="17" t="s">
        <v>371</v>
      </c>
      <c r="S942" s="11" t="s">
        <v>372</v>
      </c>
      <c r="T942" s="12"/>
      <c r="U942" s="10" t="str">
        <f>HYPERLINK("https://pbs.twimg.com/profile_images/378800000862185241/20ij2H3u.png","View")</f>
        <v>View</v>
      </c>
    </row>
    <row r="943" spans="1:21" ht="40.799999999999997">
      <c r="A943" s="6">
        <v>43420.741435185184</v>
      </c>
      <c r="B943" s="7" t="str">
        <f>HYPERLINK("https://twitter.com/SAMUELJONAS4","@SAMUELJONAS4")</f>
        <v>@SAMUELJONAS4</v>
      </c>
      <c r="C943" s="8" t="s">
        <v>3217</v>
      </c>
      <c r="D943" s="9" t="s">
        <v>3218</v>
      </c>
      <c r="E943" s="10" t="str">
        <f>HYPERLINK("https://twitter.com/SAMUELJONAS4/status/1063473691059765253","1063473691059765253")</f>
        <v>1063473691059765253</v>
      </c>
      <c r="F943" s="12"/>
      <c r="G943" s="11" t="s">
        <v>3219</v>
      </c>
      <c r="H943" s="12"/>
      <c r="I943" s="13">
        <v>0</v>
      </c>
      <c r="J943" s="13">
        <v>0</v>
      </c>
      <c r="K943" s="14" t="str">
        <f t="shared" ref="K943:K944" si="277">HYPERLINK("http://twitter.com/download/iphone","Twitter for iPhone")</f>
        <v>Twitter for iPhone</v>
      </c>
      <c r="L943" s="13">
        <v>185</v>
      </c>
      <c r="M943" s="13">
        <v>720</v>
      </c>
      <c r="N943" s="13">
        <v>9</v>
      </c>
      <c r="O943" s="15"/>
      <c r="P943" s="6">
        <v>40861.822326388887</v>
      </c>
      <c r="Q943" s="16" t="s">
        <v>3220</v>
      </c>
      <c r="R943" s="17" t="s">
        <v>3221</v>
      </c>
      <c r="S943" s="11" t="s">
        <v>3222</v>
      </c>
      <c r="T943" s="12"/>
      <c r="U943" s="10" t="str">
        <f>HYPERLINK("https://pbs.twimg.com/profile_images/1035175323686584321/fBR_rI58.jpg","View")</f>
        <v>View</v>
      </c>
    </row>
    <row r="944" spans="1:21" ht="40.799999999999997">
      <c r="A944" s="6">
        <v>43420.728159722217</v>
      </c>
      <c r="B944" s="7" t="str">
        <f>HYPERLINK("https://twitter.com/Alternativa_VOX","@Alternativa_VOX")</f>
        <v>@Alternativa_VOX</v>
      </c>
      <c r="C944" s="8" t="s">
        <v>977</v>
      </c>
      <c r="D944" s="9" t="s">
        <v>3223</v>
      </c>
      <c r="E944" s="10" t="str">
        <f>HYPERLINK("https://twitter.com/Alternativa_VOX/status/1063468876615290882","1063468876615290882")</f>
        <v>1063468876615290882</v>
      </c>
      <c r="F944" s="12"/>
      <c r="G944" s="11" t="s">
        <v>3224</v>
      </c>
      <c r="H944" s="12"/>
      <c r="I944" s="13">
        <v>80</v>
      </c>
      <c r="J944" s="13">
        <v>92</v>
      </c>
      <c r="K944" s="14" t="str">
        <f t="shared" si="277"/>
        <v>Twitter for iPhone</v>
      </c>
      <c r="L944" s="13">
        <v>14295</v>
      </c>
      <c r="M944" s="13">
        <v>2342</v>
      </c>
      <c r="N944" s="13">
        <v>63</v>
      </c>
      <c r="O944" s="15"/>
      <c r="P944" s="6">
        <v>42414.677303240736</v>
      </c>
      <c r="Q944" s="12"/>
      <c r="R944" s="17" t="s">
        <v>981</v>
      </c>
      <c r="S944" s="12"/>
      <c r="T944" s="12"/>
      <c r="U944" s="10" t="str">
        <f>HYPERLINK("https://pbs.twimg.com/profile_images/1054080233844936705/IYgqsUMs.jpg","View")</f>
        <v>View</v>
      </c>
    </row>
    <row r="945" spans="1:21" ht="102">
      <c r="A945" s="6">
        <v>43420.72761574074</v>
      </c>
      <c r="B945" s="7" t="str">
        <f>HYPERLINK("https://twitter.com/JuanRamonCalero","@JuanRamonCalero")</f>
        <v>@JuanRamonCalero</v>
      </c>
      <c r="C945" s="8" t="s">
        <v>3225</v>
      </c>
      <c r="D945" s="9" t="s">
        <v>3226</v>
      </c>
      <c r="E945" s="10" t="str">
        <f>HYPERLINK("https://twitter.com/JuanRamonCalero/status/1063468682330996742","1063468682330996742")</f>
        <v>1063468682330996742</v>
      </c>
      <c r="F945" s="11" t="s">
        <v>3227</v>
      </c>
      <c r="G945" s="12"/>
      <c r="H945" s="12"/>
      <c r="I945" s="13">
        <v>1</v>
      </c>
      <c r="J945" s="13">
        <v>2</v>
      </c>
      <c r="K945" s="14" t="str">
        <f>HYPERLINK("http://twitter.com/#!/download/ipad","Twitter for iPad")</f>
        <v>Twitter for iPad</v>
      </c>
      <c r="L945" s="13">
        <v>382</v>
      </c>
      <c r="M945" s="13">
        <v>703</v>
      </c>
      <c r="N945" s="13">
        <v>3</v>
      </c>
      <c r="O945" s="15"/>
      <c r="P945" s="6">
        <v>42765.333912037036</v>
      </c>
      <c r="Q945" s="16" t="s">
        <v>1152</v>
      </c>
      <c r="R945" s="17" t="s">
        <v>3228</v>
      </c>
      <c r="S945" s="11" t="s">
        <v>3229</v>
      </c>
      <c r="T945" s="12"/>
      <c r="U945" s="10" t="str">
        <f>HYPERLINK("https://pbs.twimg.com/profile_images/900613319769419776/9wYEt3vh.jpg","View")</f>
        <v>View</v>
      </c>
    </row>
    <row r="946" spans="1:21" ht="61.2">
      <c r="A946" s="6">
        <v>43420.721319444448</v>
      </c>
      <c r="B946" s="7" t="str">
        <f>HYPERLINK("https://twitter.com/VoxCordoba","@VoxCordoba")</f>
        <v>@VoxCordoba</v>
      </c>
      <c r="C946" s="8" t="s">
        <v>518</v>
      </c>
      <c r="D946" s="9" t="s">
        <v>2210</v>
      </c>
      <c r="E946" s="10" t="str">
        <f>HYPERLINK("https://twitter.com/VoxCordoba/status/1063466398867996675","1063466398867996675")</f>
        <v>1063466398867996675</v>
      </c>
      <c r="F946" s="12"/>
      <c r="G946" s="11" t="s">
        <v>3230</v>
      </c>
      <c r="H946" s="12"/>
      <c r="I946" s="13">
        <v>65</v>
      </c>
      <c r="J946" s="13">
        <v>76</v>
      </c>
      <c r="K946" s="14" t="str">
        <f>HYPERLINK("http://twitter.com/download/android","Twitter for Android")</f>
        <v>Twitter for Android</v>
      </c>
      <c r="L946" s="13">
        <v>3490</v>
      </c>
      <c r="M946" s="13">
        <v>419</v>
      </c>
      <c r="N946" s="13">
        <v>20</v>
      </c>
      <c r="O946" s="15"/>
      <c r="P946" s="6">
        <v>41702.963472222225</v>
      </c>
      <c r="Q946" s="16" t="s">
        <v>521</v>
      </c>
      <c r="R946" s="17" t="s">
        <v>522</v>
      </c>
      <c r="S946" s="11" t="s">
        <v>523</v>
      </c>
      <c r="T946" s="12"/>
      <c r="U946" s="10" t="str">
        <f>HYPERLINK("https://pbs.twimg.com/profile_images/689560110104993793/LDhy_1s_.jpg","View")</f>
        <v>View</v>
      </c>
    </row>
    <row r="947" spans="1:21" ht="51">
      <c r="A947" s="6">
        <v>43420.71565972222</v>
      </c>
      <c r="B947" s="7" t="str">
        <f>HYPERLINK("https://twitter.com/vox_es","@vox_es")</f>
        <v>@vox_es</v>
      </c>
      <c r="C947" s="8" t="s">
        <v>689</v>
      </c>
      <c r="D947" s="9" t="s">
        <v>3231</v>
      </c>
      <c r="E947" s="10" t="str">
        <f>HYPERLINK("https://twitter.com/vox_es/status/1063464347303886848","1063464347303886848")</f>
        <v>1063464347303886848</v>
      </c>
      <c r="F947" s="12"/>
      <c r="G947" s="11" t="s">
        <v>3233</v>
      </c>
      <c r="H947" s="12"/>
      <c r="I947" s="13">
        <v>672</v>
      </c>
      <c r="J947" s="13">
        <v>1166</v>
      </c>
      <c r="K947" s="14" t="str">
        <f>HYPERLINK("http://twitter.com","Twitter Web Client")</f>
        <v>Twitter Web Client</v>
      </c>
      <c r="L947" s="13">
        <v>122548</v>
      </c>
      <c r="M947" s="13">
        <v>915</v>
      </c>
      <c r="N947" s="13">
        <v>919</v>
      </c>
      <c r="O947" s="23" t="s">
        <v>186</v>
      </c>
      <c r="P947" s="6">
        <v>41596.746655092589</v>
      </c>
      <c r="Q947" s="12"/>
      <c r="R947" s="17" t="s">
        <v>694</v>
      </c>
      <c r="S947" s="11" t="s">
        <v>187</v>
      </c>
      <c r="T947" s="12"/>
      <c r="U947" s="10" t="str">
        <f>HYPERLINK("https://pbs.twimg.com/profile_images/1016653788617363456/m3b3jqW5.jpg","View")</f>
        <v>View</v>
      </c>
    </row>
    <row r="948" spans="1:21" ht="40.799999999999997">
      <c r="A948" s="6">
        <v>43420.709236111114</v>
      </c>
      <c r="B948" s="7" t="str">
        <f>HYPERLINK("https://twitter.com/Zibelinam","@Zibelinam")</f>
        <v>@Zibelinam</v>
      </c>
      <c r="C948" s="8" t="s">
        <v>3884</v>
      </c>
      <c r="D948" s="9" t="s">
        <v>3885</v>
      </c>
      <c r="E948" s="10" t="str">
        <f>HYPERLINK("https://twitter.com/Zibelinam/status/1063462018760540161","1063462018760540161")</f>
        <v>1063462018760540161</v>
      </c>
      <c r="F948" s="11" t="s">
        <v>2433</v>
      </c>
      <c r="G948" s="12"/>
      <c r="H948" s="12"/>
      <c r="I948" s="13">
        <v>1</v>
      </c>
      <c r="J948" s="13">
        <v>0</v>
      </c>
      <c r="K948" s="14" t="str">
        <f t="shared" ref="K948:K949" si="278">HYPERLINK("http://twitter.com/download/iphone","Twitter for iPhone")</f>
        <v>Twitter for iPhone</v>
      </c>
      <c r="L948" s="13">
        <v>4089</v>
      </c>
      <c r="M948" s="13">
        <v>4008</v>
      </c>
      <c r="N948" s="13">
        <v>19</v>
      </c>
      <c r="O948" s="15"/>
      <c r="P948" s="6">
        <v>41405.65353009259</v>
      </c>
      <c r="Q948" s="16" t="s">
        <v>3886</v>
      </c>
      <c r="R948" s="17" t="s">
        <v>3887</v>
      </c>
      <c r="S948" s="12"/>
      <c r="T948" s="12"/>
      <c r="U948" s="10" t="str">
        <f>HYPERLINK("https://pbs.twimg.com/profile_images/929426502416027649/07tvgMQf.jpg","View")</f>
        <v>View</v>
      </c>
    </row>
    <row r="949" spans="1:21" ht="102">
      <c r="A949" s="6">
        <v>43420.704837962963</v>
      </c>
      <c r="B949" s="7" t="str">
        <f>HYPERLINK("https://twitter.com/FG72373327","@FG72373327")</f>
        <v>@FG72373327</v>
      </c>
      <c r="C949" s="8" t="s">
        <v>3170</v>
      </c>
      <c r="D949" s="9" t="s">
        <v>3236</v>
      </c>
      <c r="E949" s="10" t="str">
        <f>HYPERLINK("https://twitter.com/FG72373327/status/1063460427982692352","1063460427982692352")</f>
        <v>1063460427982692352</v>
      </c>
      <c r="F949" s="11" t="s">
        <v>3237</v>
      </c>
      <c r="G949" s="11" t="s">
        <v>3238</v>
      </c>
      <c r="H949" s="12"/>
      <c r="I949" s="13">
        <v>0</v>
      </c>
      <c r="J949" s="13">
        <v>0</v>
      </c>
      <c r="K949" s="14" t="str">
        <f t="shared" si="278"/>
        <v>Twitter for iPhone</v>
      </c>
      <c r="L949" s="13">
        <v>861</v>
      </c>
      <c r="M949" s="13">
        <v>886</v>
      </c>
      <c r="N949" s="13">
        <v>6</v>
      </c>
      <c r="O949" s="15"/>
      <c r="P949" s="6">
        <v>42977.396006944444</v>
      </c>
      <c r="Q949" s="16" t="s">
        <v>44</v>
      </c>
      <c r="R949" s="21"/>
      <c r="S949" s="12"/>
      <c r="T949" s="12"/>
      <c r="U949" s="10" t="str">
        <f>HYPERLINK("https://pbs.twimg.com/profile_images/902802729009111040/RUuGyEn7.jpg","View")</f>
        <v>View</v>
      </c>
    </row>
    <row r="950" spans="1:21" ht="61.2">
      <c r="A950" s="6">
        <v>43420.70239583333</v>
      </c>
      <c r="B950" s="7" t="str">
        <f>HYPERLINK("https://twitter.com/VOXSevilla","@VOXSevilla")</f>
        <v>@VOXSevilla</v>
      </c>
      <c r="C950" s="8" t="s">
        <v>3101</v>
      </c>
      <c r="D950" s="9" t="s">
        <v>3239</v>
      </c>
      <c r="E950" s="10" t="str">
        <f>HYPERLINK("https://twitter.com/VOXSevilla/status/1063459542556659713","1063459542556659713")</f>
        <v>1063459542556659713</v>
      </c>
      <c r="F950" s="12"/>
      <c r="G950" s="12"/>
      <c r="H950" s="12"/>
      <c r="I950" s="13">
        <v>119</v>
      </c>
      <c r="J950" s="13">
        <v>217</v>
      </c>
      <c r="K950" s="14" t="str">
        <f t="shared" ref="K950:K952" si="279">HYPERLINK("http://twitter.com/download/android","Twitter for Android")</f>
        <v>Twitter for Android</v>
      </c>
      <c r="L950" s="13">
        <v>7726</v>
      </c>
      <c r="M950" s="13">
        <v>1534</v>
      </c>
      <c r="N950" s="13">
        <v>67</v>
      </c>
      <c r="O950" s="15"/>
      <c r="P950" s="6">
        <v>41691.750023148146</v>
      </c>
      <c r="Q950" s="16" t="s">
        <v>3105</v>
      </c>
      <c r="R950" s="17" t="s">
        <v>3106</v>
      </c>
      <c r="S950" s="11" t="s">
        <v>3107</v>
      </c>
      <c r="T950" s="12"/>
      <c r="U950" s="10" t="str">
        <f>HYPERLINK("https://pbs.twimg.com/profile_images/984861064704774146/oJ_70XfQ.jpg","View")</f>
        <v>View</v>
      </c>
    </row>
    <row r="951" spans="1:21" ht="20.399999999999999">
      <c r="A951" s="6">
        <v>43420.701238425929</v>
      </c>
      <c r="B951" s="7" t="str">
        <f>HYPERLINK("https://twitter.com/ChanChave","@ChanChave")</f>
        <v>@ChanChave</v>
      </c>
      <c r="C951" s="8" t="s">
        <v>3468</v>
      </c>
      <c r="D951" s="9" t="s">
        <v>3908</v>
      </c>
      <c r="E951" s="10" t="str">
        <f>HYPERLINK("https://twitter.com/ChanChave/status/1063459121519833090","1063459121519833090")</f>
        <v>1063459121519833090</v>
      </c>
      <c r="F951" s="11" t="s">
        <v>2433</v>
      </c>
      <c r="G951" s="12"/>
      <c r="H951" s="12"/>
      <c r="I951" s="13">
        <v>0</v>
      </c>
      <c r="J951" s="13">
        <v>0</v>
      </c>
      <c r="K951" s="14" t="str">
        <f t="shared" si="279"/>
        <v>Twitter for Android</v>
      </c>
      <c r="L951" s="13">
        <v>1533</v>
      </c>
      <c r="M951" s="13">
        <v>1763</v>
      </c>
      <c r="N951" s="13">
        <v>29</v>
      </c>
      <c r="O951" s="15"/>
      <c r="P951" s="6">
        <v>41330.770277777774</v>
      </c>
      <c r="Q951" s="16" t="s">
        <v>44</v>
      </c>
      <c r="R951" s="17" t="s">
        <v>3473</v>
      </c>
      <c r="S951" s="12"/>
      <c r="T951" s="12"/>
      <c r="U951" s="10" t="str">
        <f>HYPERLINK("https://pbs.twimg.com/profile_images/799293272120295424/ANV4MoWm.jpg","View")</f>
        <v>View</v>
      </c>
    </row>
    <row r="952" spans="1:21" ht="71.400000000000006">
      <c r="A952" s="6">
        <v>43420.697847222225</v>
      </c>
      <c r="B952" s="7" t="str">
        <f>HYPERLINK("https://twitter.com/UlisesGamez10","@UlisesGamez10")</f>
        <v>@UlisesGamez10</v>
      </c>
      <c r="C952" s="8" t="s">
        <v>23</v>
      </c>
      <c r="D952" s="9" t="s">
        <v>3242</v>
      </c>
      <c r="E952" s="10" t="str">
        <f>HYPERLINK("https://twitter.com/UlisesGamez10/status/1063457895331913728","1063457895331913728")</f>
        <v>1063457895331913728</v>
      </c>
      <c r="F952" s="11" t="s">
        <v>3245</v>
      </c>
      <c r="G952" s="11" t="s">
        <v>3246</v>
      </c>
      <c r="H952" s="12"/>
      <c r="I952" s="13">
        <v>0</v>
      </c>
      <c r="J952" s="13">
        <v>1</v>
      </c>
      <c r="K952" s="14" t="str">
        <f t="shared" si="279"/>
        <v>Twitter for Android</v>
      </c>
      <c r="L952" s="13">
        <v>1162</v>
      </c>
      <c r="M952" s="13">
        <v>5000</v>
      </c>
      <c r="N952" s="13">
        <v>0</v>
      </c>
      <c r="O952" s="15"/>
      <c r="P952" s="6">
        <v>43190.59783564815</v>
      </c>
      <c r="Q952" s="16" t="s">
        <v>25</v>
      </c>
      <c r="R952" s="17" t="s">
        <v>27</v>
      </c>
      <c r="S952" s="12"/>
      <c r="T952" s="12"/>
      <c r="U952" s="10" t="str">
        <f>HYPERLINK("https://pbs.twimg.com/profile_images/1031158722586980352/ItGPtjBj.jpg","View")</f>
        <v>View</v>
      </c>
    </row>
    <row r="953" spans="1:21" ht="40.799999999999997">
      <c r="A953" s="6">
        <v>43420.692199074074</v>
      </c>
      <c r="B953" s="7" t="str">
        <f>HYPERLINK("https://twitter.com/leandroparra91","@leandroparra91")</f>
        <v>@leandroparra91</v>
      </c>
      <c r="C953" s="8" t="s">
        <v>2968</v>
      </c>
      <c r="D953" s="9" t="s">
        <v>3918</v>
      </c>
      <c r="E953" s="10" t="str">
        <f>HYPERLINK("https://twitter.com/leandroparra91/status/1063455847584591874","1063455847584591874")</f>
        <v>1063455847584591874</v>
      </c>
      <c r="F953" s="11" t="s">
        <v>3919</v>
      </c>
      <c r="G953" s="12"/>
      <c r="H953" s="12"/>
      <c r="I953" s="13">
        <v>0</v>
      </c>
      <c r="J953" s="13">
        <v>0</v>
      </c>
      <c r="K953" s="14" t="str">
        <f>HYPERLINK("https://www.google.com/","Google")</f>
        <v>Google</v>
      </c>
      <c r="L953" s="13">
        <v>175</v>
      </c>
      <c r="M953" s="13">
        <v>1788</v>
      </c>
      <c r="N953" s="13">
        <v>1</v>
      </c>
      <c r="O953" s="15"/>
      <c r="P953" s="6">
        <v>42667.629479166666</v>
      </c>
      <c r="Q953" s="16" t="s">
        <v>698</v>
      </c>
      <c r="R953" s="17" t="s">
        <v>2971</v>
      </c>
      <c r="S953" s="12"/>
      <c r="T953" s="12"/>
      <c r="U953" s="23" t="s">
        <v>307</v>
      </c>
    </row>
    <row r="954" spans="1:21" ht="102">
      <c r="A954" s="6">
        <v>43420.687789351854</v>
      </c>
      <c r="B954" s="7" t="str">
        <f>HYPERLINK("https://twitter.com/DavidLopezGnzlz","@DavidLopezGnzlz")</f>
        <v>@DavidLopezGnzlz</v>
      </c>
      <c r="C954" s="8" t="s">
        <v>3247</v>
      </c>
      <c r="D954" s="9" t="s">
        <v>3248</v>
      </c>
      <c r="E954" s="10" t="str">
        <f>HYPERLINK("https://twitter.com/DavidLopezGnzlz/status/1063454249022050304","1063454249022050304")</f>
        <v>1063454249022050304</v>
      </c>
      <c r="F954" s="11" t="s">
        <v>3249</v>
      </c>
      <c r="G954" s="11" t="s">
        <v>3250</v>
      </c>
      <c r="H954" s="12"/>
      <c r="I954" s="13">
        <v>6</v>
      </c>
      <c r="J954" s="13">
        <v>7</v>
      </c>
      <c r="K954" s="14" t="str">
        <f>HYPERLINK("http://twitter.com/download/iphone","Twitter for iPhone")</f>
        <v>Twitter for iPhone</v>
      </c>
      <c r="L954" s="13">
        <v>518</v>
      </c>
      <c r="M954" s="13">
        <v>886</v>
      </c>
      <c r="N954" s="13">
        <v>26</v>
      </c>
      <c r="O954" s="15"/>
      <c r="P954" s="6">
        <v>42167.669444444444</v>
      </c>
      <c r="Q954" s="16" t="s">
        <v>3251</v>
      </c>
      <c r="R954" s="17" t="s">
        <v>3252</v>
      </c>
      <c r="S954" s="12"/>
      <c r="T954" s="12"/>
      <c r="U954" s="10" t="str">
        <f>HYPERLINK("https://pbs.twimg.com/profile_images/1035325926459027456/FkJqo_SK.jpg","View")</f>
        <v>View</v>
      </c>
    </row>
    <row r="955" spans="1:21" ht="30.6">
      <c r="A955" s="6">
        <v>43420.68450231482</v>
      </c>
      <c r="B955" s="7" t="str">
        <f>HYPERLINK("https://twitter.com/Santi_ABASCAL","@Santi_ABASCAL")</f>
        <v>@Santi_ABASCAL</v>
      </c>
      <c r="C955" s="8" t="s">
        <v>182</v>
      </c>
      <c r="D955" s="9" t="s">
        <v>3925</v>
      </c>
      <c r="E955" s="10" t="str">
        <f>HYPERLINK("https://twitter.com/Santi_ABASCAL/status/1063453055973240835","1063453055973240835")</f>
        <v>1063453055973240835</v>
      </c>
      <c r="F955" s="12"/>
      <c r="G955" s="11" t="s">
        <v>3927</v>
      </c>
      <c r="H955" s="12"/>
      <c r="I955" s="13">
        <v>550</v>
      </c>
      <c r="J955" s="13">
        <v>1099</v>
      </c>
      <c r="K955" s="14" t="str">
        <f>HYPERLINK("http://twitter.com/download/android","Twitter for Android")</f>
        <v>Twitter for Android</v>
      </c>
      <c r="L955" s="13">
        <v>117602</v>
      </c>
      <c r="M955" s="13">
        <v>3896</v>
      </c>
      <c r="N955" s="13">
        <v>915</v>
      </c>
      <c r="O955" s="23" t="s">
        <v>186</v>
      </c>
      <c r="P955" s="6">
        <v>40606.716446759259</v>
      </c>
      <c r="Q955" s="16" t="s">
        <v>188</v>
      </c>
      <c r="R955" s="17" t="s">
        <v>189</v>
      </c>
      <c r="S955" s="11" t="s">
        <v>190</v>
      </c>
      <c r="T955" s="12"/>
      <c r="U955" s="10" t="str">
        <f>HYPERLINK("https://pbs.twimg.com/profile_images/1010488787686879232/2CnqYKlD.jpg","View")</f>
        <v>View</v>
      </c>
    </row>
    <row r="956" spans="1:21" ht="91.8">
      <c r="A956" s="6">
        <v>43420.684097222227</v>
      </c>
      <c r="B956" s="7" t="str">
        <f>HYPERLINK("https://twitter.com/vox_za","@vox_za")</f>
        <v>@vox_za</v>
      </c>
      <c r="C956" s="8" t="s">
        <v>3253</v>
      </c>
      <c r="D956" s="9" t="s">
        <v>3254</v>
      </c>
      <c r="E956" s="10" t="str">
        <f>HYPERLINK("https://twitter.com/vox_za/status/1063452911752105986","1063452911752105986")</f>
        <v>1063452911752105986</v>
      </c>
      <c r="F956" s="11" t="s">
        <v>3255</v>
      </c>
      <c r="G956" s="11" t="s">
        <v>3256</v>
      </c>
      <c r="H956" s="12"/>
      <c r="I956" s="13">
        <v>2</v>
      </c>
      <c r="J956" s="13">
        <v>4</v>
      </c>
      <c r="K956" s="14" t="str">
        <f t="shared" ref="K956:K957" si="280">HYPERLINK("http://twitter.com/download/iphone","Twitter for iPhone")</f>
        <v>Twitter for iPhone</v>
      </c>
      <c r="L956" s="13">
        <v>832</v>
      </c>
      <c r="M956" s="13">
        <v>368</v>
      </c>
      <c r="N956" s="13">
        <v>3</v>
      </c>
      <c r="O956" s="15"/>
      <c r="P956" s="6">
        <v>43032.95144675926</v>
      </c>
      <c r="Q956" s="16" t="s">
        <v>3257</v>
      </c>
      <c r="R956" s="17" t="s">
        <v>3258</v>
      </c>
      <c r="S956" s="11" t="s">
        <v>1118</v>
      </c>
      <c r="T956" s="12"/>
      <c r="U956" s="10" t="str">
        <f>HYPERLINK("https://pbs.twimg.com/profile_images/1049600232655339520/pdSLqm13.jpg","View")</f>
        <v>View</v>
      </c>
    </row>
    <row r="957" spans="1:21" ht="91.8">
      <c r="A957" s="6">
        <v>43420.676030092596</v>
      </c>
      <c r="B957" s="7" t="str">
        <f>HYPERLINK("https://twitter.com/FelicityMG8","@FelicityMG8")</f>
        <v>@FelicityMG8</v>
      </c>
      <c r="C957" s="8" t="s">
        <v>3259</v>
      </c>
      <c r="D957" s="9" t="s">
        <v>3260</v>
      </c>
      <c r="E957" s="10" t="str">
        <f>HYPERLINK("https://twitter.com/FelicityMG8/status/1063449985855954949","1063449985855954949")</f>
        <v>1063449985855954949</v>
      </c>
      <c r="F957" s="11" t="s">
        <v>3261</v>
      </c>
      <c r="G957" s="11" t="s">
        <v>3262</v>
      </c>
      <c r="H957" s="12"/>
      <c r="I957" s="13">
        <v>0</v>
      </c>
      <c r="J957" s="13">
        <v>1</v>
      </c>
      <c r="K957" s="14" t="str">
        <f t="shared" si="280"/>
        <v>Twitter for iPhone</v>
      </c>
      <c r="L957" s="13">
        <v>1691</v>
      </c>
      <c r="M957" s="13">
        <v>2787</v>
      </c>
      <c r="N957" s="13">
        <v>15</v>
      </c>
      <c r="O957" s="15"/>
      <c r="P957" s="6">
        <v>41136.511828703704</v>
      </c>
      <c r="Q957" s="16" t="s">
        <v>3263</v>
      </c>
      <c r="R957" s="17" t="s">
        <v>3264</v>
      </c>
      <c r="S957" s="12"/>
      <c r="T957" s="12"/>
      <c r="U957" s="10" t="str">
        <f>HYPERLINK("https://pbs.twimg.com/profile_images/1026590487799586817/wrnQxShJ.jpg","View")</f>
        <v>View</v>
      </c>
    </row>
    <row r="958" spans="1:21" ht="30.6">
      <c r="A958" s="6">
        <v>43420.671226851853</v>
      </c>
      <c r="B958" s="7" t="str">
        <f>HYPERLINK("https://twitter.com/queloque189","@queloque189")</f>
        <v>@queloque189</v>
      </c>
      <c r="C958" s="8" t="s">
        <v>3265</v>
      </c>
      <c r="D958" s="9" t="s">
        <v>3266</v>
      </c>
      <c r="E958" s="10" t="str">
        <f>HYPERLINK("https://twitter.com/queloque189/status/1063448244573954048","1063448244573954048")</f>
        <v>1063448244573954048</v>
      </c>
      <c r="F958" s="12"/>
      <c r="G958" s="12"/>
      <c r="H958" s="12"/>
      <c r="I958" s="13">
        <v>0</v>
      </c>
      <c r="J958" s="13">
        <v>0</v>
      </c>
      <c r="K958" s="14" t="str">
        <f t="shared" ref="K958:K960" si="281">HYPERLINK("http://twitter.com/download/android","Twitter for Android")</f>
        <v>Twitter for Android</v>
      </c>
      <c r="L958" s="13">
        <v>127</v>
      </c>
      <c r="M958" s="13">
        <v>255</v>
      </c>
      <c r="N958" s="13">
        <v>1</v>
      </c>
      <c r="O958" s="15"/>
      <c r="P958" s="6">
        <v>40691.598819444444</v>
      </c>
      <c r="Q958" s="16" t="s">
        <v>66</v>
      </c>
      <c r="R958" s="21"/>
      <c r="S958" s="12"/>
      <c r="T958" s="12"/>
      <c r="U958" s="10" t="str">
        <f>HYPERLINK("https://pbs.twimg.com/profile_images/1060489571425771521/iCIlc_Gy.jpg","View")</f>
        <v>View</v>
      </c>
    </row>
    <row r="959" spans="1:21" ht="61.2">
      <c r="A959" s="6">
        <v>43420.664351851854</v>
      </c>
      <c r="B959" s="7" t="str">
        <f>HYPERLINK("https://twitter.com/El_Apechusque","@El_Apechusque")</f>
        <v>@El_Apechusque</v>
      </c>
      <c r="C959" s="8" t="s">
        <v>3267</v>
      </c>
      <c r="D959" s="9" t="s">
        <v>3268</v>
      </c>
      <c r="E959" s="10" t="str">
        <f>HYPERLINK("https://twitter.com/El_Apechusque/status/1063445753270599682","1063445753270599682")</f>
        <v>1063445753270599682</v>
      </c>
      <c r="F959" s="11" t="s">
        <v>3269</v>
      </c>
      <c r="G959" s="11" t="s">
        <v>3270</v>
      </c>
      <c r="H959" s="12"/>
      <c r="I959" s="13">
        <v>0</v>
      </c>
      <c r="J959" s="13">
        <v>0</v>
      </c>
      <c r="K959" s="14" t="str">
        <f t="shared" si="281"/>
        <v>Twitter for Android</v>
      </c>
      <c r="L959" s="13">
        <v>249</v>
      </c>
      <c r="M959" s="13">
        <v>616</v>
      </c>
      <c r="N959" s="13">
        <v>0</v>
      </c>
      <c r="O959" s="15"/>
      <c r="P959" s="6">
        <v>43324.999432870369</v>
      </c>
      <c r="Q959" s="16" t="s">
        <v>3271</v>
      </c>
      <c r="R959" s="17" t="s">
        <v>3272</v>
      </c>
      <c r="S959" s="12"/>
      <c r="T959" s="12"/>
      <c r="U959" s="10" t="str">
        <f>HYPERLINK("https://pbs.twimg.com/profile_images/1028953479774199808/3Qv3NHs6.jpg","View")</f>
        <v>View</v>
      </c>
    </row>
    <row r="960" spans="1:21" ht="40.799999999999997">
      <c r="A960" s="6">
        <v>43420.664189814815</v>
      </c>
      <c r="B960" s="7" t="str">
        <f>HYPERLINK("https://twitter.com/librepensadorJG","@librepensadorJG")</f>
        <v>@librepensadorJG</v>
      </c>
      <c r="C960" s="8" t="s">
        <v>3273</v>
      </c>
      <c r="D960" s="9" t="s">
        <v>3274</v>
      </c>
      <c r="E960" s="10" t="str">
        <f>HYPERLINK("https://twitter.com/librepensadorJG/status/1063445696542588929","1063445696542588929")</f>
        <v>1063445696542588929</v>
      </c>
      <c r="F960" s="12"/>
      <c r="G960" s="11" t="s">
        <v>3275</v>
      </c>
      <c r="H960" s="12"/>
      <c r="I960" s="13">
        <v>390</v>
      </c>
      <c r="J960" s="13">
        <v>597</v>
      </c>
      <c r="K960" s="14" t="str">
        <f t="shared" si="281"/>
        <v>Twitter for Android</v>
      </c>
      <c r="L960" s="13">
        <v>12468</v>
      </c>
      <c r="M960" s="13">
        <v>36</v>
      </c>
      <c r="N960" s="13">
        <v>53</v>
      </c>
      <c r="O960" s="15"/>
      <c r="P960" s="6">
        <v>42189.960821759261</v>
      </c>
      <c r="Q960" s="12"/>
      <c r="R960" s="17" t="s">
        <v>3276</v>
      </c>
      <c r="S960" s="11" t="s">
        <v>3277</v>
      </c>
      <c r="T960" s="12"/>
      <c r="U960" s="10" t="str">
        <f>HYPERLINK("https://pbs.twimg.com/profile_images/933708051466645510/EFhL09Sc.jpg","View")</f>
        <v>View</v>
      </c>
    </row>
    <row r="961" spans="1:21" ht="71.400000000000006">
      <c r="A961" s="6">
        <v>43420.639317129629</v>
      </c>
      <c r="B961" s="7" t="str">
        <f>HYPERLINK("https://twitter.com/Antonio29407099","@Antonio29407099")</f>
        <v>@Antonio29407099</v>
      </c>
      <c r="C961" s="8" t="s">
        <v>1371</v>
      </c>
      <c r="D961" s="9" t="s">
        <v>3280</v>
      </c>
      <c r="E961" s="10" t="str">
        <f>HYPERLINK("https://twitter.com/Antonio29407099/status/1063436682689748992","1063436682689748992")</f>
        <v>1063436682689748992</v>
      </c>
      <c r="F961" s="16" t="s">
        <v>3103</v>
      </c>
      <c r="G961" s="11" t="s">
        <v>3104</v>
      </c>
      <c r="H961" s="12"/>
      <c r="I961" s="13">
        <v>0</v>
      </c>
      <c r="J961" s="13">
        <v>1</v>
      </c>
      <c r="K961" s="14" t="str">
        <f>HYPERLINK("http://twitter.com","Twitter Web Client")</f>
        <v>Twitter Web Client</v>
      </c>
      <c r="L961" s="13">
        <v>409</v>
      </c>
      <c r="M961" s="13">
        <v>420</v>
      </c>
      <c r="N961" s="13">
        <v>8</v>
      </c>
      <c r="O961" s="15"/>
      <c r="P961" s="6">
        <v>40986.32503472222</v>
      </c>
      <c r="Q961" s="16" t="s">
        <v>1117</v>
      </c>
      <c r="R961" s="17" t="s">
        <v>1372</v>
      </c>
      <c r="S961" s="12"/>
      <c r="T961" s="12"/>
      <c r="U961" s="10" t="str">
        <f>HYPERLINK("https://pbs.twimg.com/profile_images/1065943948890382336/j9ezRSrk.jpg","View")</f>
        <v>View</v>
      </c>
    </row>
    <row r="962" spans="1:21" ht="13.2">
      <c r="A962" s="6">
        <v>43420.627488425926</v>
      </c>
      <c r="B962" s="7" t="str">
        <f>HYPERLINK("https://twitter.com/Santi_ABASCAL","@Santi_ABASCAL")</f>
        <v>@Santi_ABASCAL</v>
      </c>
      <c r="C962" s="8" t="s">
        <v>182</v>
      </c>
      <c r="D962" s="9" t="s">
        <v>3950</v>
      </c>
      <c r="E962" s="10" t="str">
        <f>HYPERLINK("https://twitter.com/Santi_ABASCAL/status/1063432394919866368","1063432394919866368")</f>
        <v>1063432394919866368</v>
      </c>
      <c r="F962" s="12"/>
      <c r="G962" s="11" t="s">
        <v>3951</v>
      </c>
      <c r="H962" s="12"/>
      <c r="I962" s="13">
        <v>485</v>
      </c>
      <c r="J962" s="13">
        <v>716</v>
      </c>
      <c r="K962" s="14" t="str">
        <f>HYPERLINK("http://twitter.com/download/android","Twitter for Android")</f>
        <v>Twitter for Android</v>
      </c>
      <c r="L962" s="13">
        <v>117602</v>
      </c>
      <c r="M962" s="13">
        <v>3896</v>
      </c>
      <c r="N962" s="13">
        <v>915</v>
      </c>
      <c r="O962" s="23" t="s">
        <v>186</v>
      </c>
      <c r="P962" s="6">
        <v>40606.716446759259</v>
      </c>
      <c r="Q962" s="16" t="s">
        <v>188</v>
      </c>
      <c r="R962" s="17" t="s">
        <v>189</v>
      </c>
      <c r="S962" s="11" t="s">
        <v>190</v>
      </c>
      <c r="T962" s="12"/>
      <c r="U962" s="10" t="str">
        <f>HYPERLINK("https://pbs.twimg.com/profile_images/1010488787686879232/2CnqYKlD.jpg","View")</f>
        <v>View</v>
      </c>
    </row>
    <row r="963" spans="1:21" ht="40.799999999999997">
      <c r="A963" s="6">
        <v>43420.626388888893</v>
      </c>
      <c r="B963" s="7" t="str">
        <f>HYPERLINK("https://twitter.com/bitMomentum","@bitMomentum")</f>
        <v>@bitMomentum</v>
      </c>
      <c r="C963" s="8" t="s">
        <v>368</v>
      </c>
      <c r="D963" s="9" t="s">
        <v>3285</v>
      </c>
      <c r="E963" s="10" t="str">
        <f>HYPERLINK("https://twitter.com/bitMomentum/status/1063431996133789696","1063431996133789696")</f>
        <v>1063431996133789696</v>
      </c>
      <c r="F963" s="12"/>
      <c r="G963" s="12"/>
      <c r="H963" s="12"/>
      <c r="I963" s="13">
        <v>0</v>
      </c>
      <c r="J963" s="13">
        <v>0</v>
      </c>
      <c r="K963" s="14" t="str">
        <f>HYPERLINK("http://www.bitmomentum.com","bitMomentum Bot")</f>
        <v>bitMomentum Bot</v>
      </c>
      <c r="L963" s="13">
        <v>10132</v>
      </c>
      <c r="M963" s="13">
        <v>1060</v>
      </c>
      <c r="N963" s="13">
        <v>267</v>
      </c>
      <c r="O963" s="15"/>
      <c r="P963" s="6">
        <v>41608.667511574073</v>
      </c>
      <c r="Q963" s="12"/>
      <c r="R963" s="17" t="s">
        <v>371</v>
      </c>
      <c r="S963" s="11" t="s">
        <v>372</v>
      </c>
      <c r="T963" s="12"/>
      <c r="U963" s="10" t="str">
        <f>HYPERLINK("https://pbs.twimg.com/profile_images/378800000862185241/20ij2H3u.png","View")</f>
        <v>View</v>
      </c>
    </row>
    <row r="964" spans="1:21" ht="20.399999999999999">
      <c r="A964" s="6">
        <v>43420.623715277776</v>
      </c>
      <c r="B964" s="7" t="str">
        <f>HYPERLINK("https://twitter.com/Sr_Pereza","@Sr_Pereza")</f>
        <v>@Sr_Pereza</v>
      </c>
      <c r="C964" s="8" t="s">
        <v>3954</v>
      </c>
      <c r="D964" s="9" t="s">
        <v>3955</v>
      </c>
      <c r="E964" s="10" t="str">
        <f>HYPERLINK("https://twitter.com/Sr_Pereza/status/1063431029036326913","1063431029036326913")</f>
        <v>1063431029036326913</v>
      </c>
      <c r="F964" s="12"/>
      <c r="G964" s="12"/>
      <c r="H964" s="12"/>
      <c r="I964" s="13">
        <v>1</v>
      </c>
      <c r="J964" s="13">
        <v>9</v>
      </c>
      <c r="K964" s="14" t="str">
        <f t="shared" ref="K964:K965" si="282">HYPERLINK("http://twitter.com/download/android","Twitter for Android")</f>
        <v>Twitter for Android</v>
      </c>
      <c r="L964" s="13">
        <v>2303</v>
      </c>
      <c r="M964" s="13">
        <v>632</v>
      </c>
      <c r="N964" s="13">
        <v>24</v>
      </c>
      <c r="O964" s="15"/>
      <c r="P964" s="6">
        <v>42244.54524305556</v>
      </c>
      <c r="Q964" s="16" t="s">
        <v>3956</v>
      </c>
      <c r="R964" s="17" t="s">
        <v>3957</v>
      </c>
      <c r="S964" s="12"/>
      <c r="T964" s="12"/>
      <c r="U964" s="10" t="str">
        <f>HYPERLINK("https://pbs.twimg.com/profile_images/1030441231728476160/GlZt0-gZ.jpg","View")</f>
        <v>View</v>
      </c>
    </row>
    <row r="965" spans="1:21" ht="20.399999999999999">
      <c r="A965" s="6">
        <v>43420.622060185182</v>
      </c>
      <c r="B965" s="7" t="str">
        <f>HYPERLINK("https://twitter.com/GalianTudel","@GalianTudel")</f>
        <v>@GalianTudel</v>
      </c>
      <c r="C965" s="8" t="s">
        <v>3960</v>
      </c>
      <c r="D965" s="9" t="s">
        <v>3908</v>
      </c>
      <c r="E965" s="10" t="str">
        <f>HYPERLINK("https://twitter.com/GalianTudel/status/1063430430307819520","1063430430307819520")</f>
        <v>1063430430307819520</v>
      </c>
      <c r="F965" s="11" t="s">
        <v>2433</v>
      </c>
      <c r="G965" s="12"/>
      <c r="H965" s="12"/>
      <c r="I965" s="13">
        <v>0</v>
      </c>
      <c r="J965" s="13">
        <v>1</v>
      </c>
      <c r="K965" s="14" t="str">
        <f t="shared" si="282"/>
        <v>Twitter for Android</v>
      </c>
      <c r="L965" s="13">
        <v>67</v>
      </c>
      <c r="M965" s="13">
        <v>39</v>
      </c>
      <c r="N965" s="13">
        <v>1</v>
      </c>
      <c r="O965" s="15"/>
      <c r="P965" s="6">
        <v>41993.569236111114</v>
      </c>
      <c r="Q965" s="16" t="s">
        <v>3220</v>
      </c>
      <c r="R965" s="17" t="s">
        <v>3962</v>
      </c>
      <c r="S965" s="12"/>
      <c r="T965" s="12"/>
      <c r="U965" s="10" t="str">
        <f>HYPERLINK("https://pbs.twimg.com/profile_images/934519740004958208/bL8y8b7D.jpg","View")</f>
        <v>View</v>
      </c>
    </row>
    <row r="966" spans="1:21" ht="40.799999999999997">
      <c r="A966" s="6">
        <v>43420.606840277775</v>
      </c>
      <c r="B966" s="7" t="str">
        <f>HYPERLINK("https://twitter.com/EspInconforme","@EspInconforme")</f>
        <v>@EspInconforme</v>
      </c>
      <c r="C966" s="8" t="s">
        <v>3288</v>
      </c>
      <c r="D966" s="9" t="s">
        <v>3289</v>
      </c>
      <c r="E966" s="10" t="str">
        <f>HYPERLINK("https://twitter.com/EspInconforme/status/1063424913594306561","1063424913594306561")</f>
        <v>1063424913594306561</v>
      </c>
      <c r="F966" s="12"/>
      <c r="G966" s="11" t="s">
        <v>3290</v>
      </c>
      <c r="H966" s="12"/>
      <c r="I966" s="13">
        <v>0</v>
      </c>
      <c r="J966" s="13">
        <v>0</v>
      </c>
      <c r="K966" s="14" t="str">
        <f>HYPERLINK("http://twitter.com/download/iphone","Twitter for iPhone")</f>
        <v>Twitter for iPhone</v>
      </c>
      <c r="L966" s="13">
        <v>11</v>
      </c>
      <c r="M966" s="13">
        <v>16</v>
      </c>
      <c r="N966" s="13">
        <v>0</v>
      </c>
      <c r="O966" s="15"/>
      <c r="P966" s="6">
        <v>43405.97451388889</v>
      </c>
      <c r="Q966" s="12"/>
      <c r="R966" s="21"/>
      <c r="S966" s="12"/>
      <c r="T966" s="12"/>
      <c r="U966" s="10" t="str">
        <f>HYPERLINK("https://pbs.twimg.com/profile_images/1058124167441211392/z4gJWDGX.jpg","View")</f>
        <v>View</v>
      </c>
    </row>
    <row r="967" spans="1:21" ht="20.399999999999999">
      <c r="A967" s="6">
        <v>43420.606168981481</v>
      </c>
      <c r="B967" s="7" t="str">
        <f>HYPERLINK("https://twitter.com/lunadebenidorm","@lunadebenidorm")</f>
        <v>@lunadebenidorm</v>
      </c>
      <c r="C967" s="8" t="s">
        <v>106</v>
      </c>
      <c r="D967" s="9" t="s">
        <v>3968</v>
      </c>
      <c r="E967" s="10" t="str">
        <f>HYPERLINK("https://twitter.com/lunadebenidorm/status/1063424669678821377","1063424669678821377")</f>
        <v>1063424669678821377</v>
      </c>
      <c r="F967" s="11" t="s">
        <v>3970</v>
      </c>
      <c r="G967" s="12"/>
      <c r="H967" s="12"/>
      <c r="I967" s="13">
        <v>0</v>
      </c>
      <c r="J967" s="13">
        <v>0</v>
      </c>
      <c r="K967" s="14" t="str">
        <f>HYPERLINK("http://twitter.com","Twitter Web Client")</f>
        <v>Twitter Web Client</v>
      </c>
      <c r="L967" s="13">
        <v>3991</v>
      </c>
      <c r="M967" s="13">
        <v>3978</v>
      </c>
      <c r="N967" s="13">
        <v>79</v>
      </c>
      <c r="O967" s="15"/>
      <c r="P967" s="6">
        <v>41461.81186342593</v>
      </c>
      <c r="Q967" s="12"/>
      <c r="R967" s="17" t="s">
        <v>108</v>
      </c>
      <c r="S967" s="12"/>
      <c r="T967" s="12"/>
      <c r="U967" s="10" t="str">
        <f>HYPERLINK("https://pbs.twimg.com/profile_images/1061229593758257153/rePCQt08.jpg","View")</f>
        <v>View</v>
      </c>
    </row>
    <row r="968" spans="1:21" ht="30.6">
      <c r="A968" s="6">
        <v>43420.596550925926</v>
      </c>
      <c r="B968" s="7" t="str">
        <f>HYPERLINK("https://twitter.com/rgarmol89","@rgarmol89")</f>
        <v>@rgarmol89</v>
      </c>
      <c r="C968" s="8" t="s">
        <v>3293</v>
      </c>
      <c r="D968" s="9" t="s">
        <v>3294</v>
      </c>
      <c r="E968" s="10" t="str">
        <f>HYPERLINK("https://twitter.com/rgarmol89/status/1063421182639292416","1063421182639292416")</f>
        <v>1063421182639292416</v>
      </c>
      <c r="F968" s="12"/>
      <c r="G968" s="11" t="s">
        <v>3295</v>
      </c>
      <c r="H968" s="12"/>
      <c r="I968" s="13">
        <v>1</v>
      </c>
      <c r="J968" s="13">
        <v>1</v>
      </c>
      <c r="K968" s="14" t="str">
        <f>HYPERLINK("http://twitter.com/download/iphone","Twitter for iPhone")</f>
        <v>Twitter for iPhone</v>
      </c>
      <c r="L968" s="13">
        <v>126</v>
      </c>
      <c r="M968" s="13">
        <v>199</v>
      </c>
      <c r="N968" s="13">
        <v>1</v>
      </c>
      <c r="O968" s="15"/>
      <c r="P968" s="6">
        <v>40667.503171296295</v>
      </c>
      <c r="Q968" s="16" t="s">
        <v>66</v>
      </c>
      <c r="R968" s="17" t="s">
        <v>3296</v>
      </c>
      <c r="S968" s="12"/>
      <c r="T968" s="12"/>
      <c r="U968" s="10" t="str">
        <f>HYPERLINK("https://pbs.twimg.com/profile_images/3493889914/195efe56deace31e2ec964eb7827fdb5.jpeg","View")</f>
        <v>View</v>
      </c>
    </row>
    <row r="969" spans="1:21" ht="30.6">
      <c r="A969" s="6">
        <v>43420.596168981487</v>
      </c>
      <c r="B969" s="7" t="str">
        <f>HYPERLINK("https://twitter.com/ontibe","@ontibe")</f>
        <v>@ontibe</v>
      </c>
      <c r="C969" s="8" t="s">
        <v>3975</v>
      </c>
      <c r="D969" s="9" t="s">
        <v>2432</v>
      </c>
      <c r="E969" s="10" t="str">
        <f>HYPERLINK("https://twitter.com/ontibe/status/1063421045342900225","1063421045342900225")</f>
        <v>1063421045342900225</v>
      </c>
      <c r="F969" s="11" t="s">
        <v>3042</v>
      </c>
      <c r="G969" s="12"/>
      <c r="H969" s="12"/>
      <c r="I969" s="13">
        <v>0</v>
      </c>
      <c r="J969" s="13">
        <v>0</v>
      </c>
      <c r="K969" s="14" t="str">
        <f>HYPERLINK("http://twitter.com","Twitter Web Client")</f>
        <v>Twitter Web Client</v>
      </c>
      <c r="L969" s="13">
        <v>432</v>
      </c>
      <c r="M969" s="13">
        <v>1265</v>
      </c>
      <c r="N969" s="13">
        <v>1</v>
      </c>
      <c r="O969" s="15"/>
      <c r="P969" s="6">
        <v>40673.627766203703</v>
      </c>
      <c r="Q969" s="16" t="s">
        <v>3978</v>
      </c>
      <c r="R969" s="17" t="s">
        <v>3979</v>
      </c>
      <c r="S969" s="12"/>
      <c r="T969" s="12"/>
      <c r="U969" s="10" t="str">
        <f>HYPERLINK("https://pbs.twimg.com/profile_images/867069058037972993/9c2-Wrp7.jpg","View")</f>
        <v>View</v>
      </c>
    </row>
    <row r="970" spans="1:21" ht="51">
      <c r="A970" s="6">
        <v>43420.58929398148</v>
      </c>
      <c r="B970" s="7" t="str">
        <f>HYPERLINK("https://twitter.com/TvPlataforma","@TvPlataforma")</f>
        <v>@TvPlataforma</v>
      </c>
      <c r="C970" s="8" t="s">
        <v>3297</v>
      </c>
      <c r="D970" s="9" t="s">
        <v>3298</v>
      </c>
      <c r="E970" s="10" t="str">
        <f>HYPERLINK("https://twitter.com/TvPlataforma/status/1063418556782653440","1063418556782653440")</f>
        <v>1063418556782653440</v>
      </c>
      <c r="F970" s="12"/>
      <c r="G970" s="11" t="s">
        <v>3301</v>
      </c>
      <c r="H970" s="12"/>
      <c r="I970" s="13">
        <v>5</v>
      </c>
      <c r="J970" s="13">
        <v>2</v>
      </c>
      <c r="K970" s="14" t="str">
        <f>HYPERLINK("http://twitter.com/download/iphone","Twitter for iPhone")</f>
        <v>Twitter for iPhone</v>
      </c>
      <c r="L970" s="13">
        <v>1707</v>
      </c>
      <c r="M970" s="13">
        <v>4997</v>
      </c>
      <c r="N970" s="13">
        <v>9</v>
      </c>
      <c r="O970" s="15"/>
      <c r="P970" s="6">
        <v>43377.804641203707</v>
      </c>
      <c r="Q970" s="12"/>
      <c r="R970" s="17" t="s">
        <v>3302</v>
      </c>
      <c r="S970" s="12"/>
      <c r="T970" s="12"/>
      <c r="U970" s="10" t="str">
        <f>HYPERLINK("https://pbs.twimg.com/profile_images/1053301934134870017/ZuBUPU4P.jpg","View")</f>
        <v>View</v>
      </c>
    </row>
    <row r="971" spans="1:21" ht="51">
      <c r="A971" s="6">
        <v>43420.588842592595</v>
      </c>
      <c r="B971" s="7" t="str">
        <f>HYPERLINK("https://twitter.com/derechanacional","@derechanacional")</f>
        <v>@derechanacional</v>
      </c>
      <c r="C971" s="8" t="s">
        <v>1880</v>
      </c>
      <c r="D971" s="9" t="s">
        <v>3304</v>
      </c>
      <c r="E971" s="10" t="str">
        <f>HYPERLINK("https://twitter.com/derechanacional/status/1063418389492891648","1063418389492891648")</f>
        <v>1063418389492891648</v>
      </c>
      <c r="F971" s="11" t="s">
        <v>3305</v>
      </c>
      <c r="G971" s="11" t="s">
        <v>3306</v>
      </c>
      <c r="H971" s="12"/>
      <c r="I971" s="13">
        <v>1</v>
      </c>
      <c r="J971" s="13">
        <v>1</v>
      </c>
      <c r="K971" s="14" t="str">
        <f>HYPERLINK("https://mobile.twitter.com","Twitter Lite")</f>
        <v>Twitter Lite</v>
      </c>
      <c r="L971" s="13">
        <v>12448</v>
      </c>
      <c r="M971" s="13">
        <v>937</v>
      </c>
      <c r="N971" s="13">
        <v>57</v>
      </c>
      <c r="O971" s="15"/>
      <c r="P971" s="6">
        <v>40205.043692129628</v>
      </c>
      <c r="Q971" s="16" t="s">
        <v>44</v>
      </c>
      <c r="R971" s="17" t="s">
        <v>1883</v>
      </c>
      <c r="S971" s="11" t="s">
        <v>1884</v>
      </c>
      <c r="T971" s="12"/>
      <c r="U971" s="10" t="str">
        <f>HYPERLINK("https://pbs.twimg.com/profile_images/1003817558150131713/IX1-gpQG.jpg","View")</f>
        <v>View</v>
      </c>
    </row>
    <row r="972" spans="1:21" ht="51">
      <c r="A972" s="6">
        <v>43420.584456018521</v>
      </c>
      <c r="B972" s="7" t="str">
        <f>HYPERLINK("https://twitter.com/sergio_castro_g","@sergio_castro_g")</f>
        <v>@sergio_castro_g</v>
      </c>
      <c r="C972" s="8" t="s">
        <v>2238</v>
      </c>
      <c r="D972" s="9" t="s">
        <v>3307</v>
      </c>
      <c r="E972" s="10" t="str">
        <f>HYPERLINK("https://twitter.com/sergio_castro_g/status/1063416801500033025","1063416801500033025")</f>
        <v>1063416801500033025</v>
      </c>
      <c r="F972" s="12"/>
      <c r="G972" s="12"/>
      <c r="H972" s="12"/>
      <c r="I972" s="13">
        <v>145</v>
      </c>
      <c r="J972" s="13">
        <v>256</v>
      </c>
      <c r="K972" s="14" t="str">
        <f t="shared" ref="K972:K973" si="283">HYPERLINK("http://twitter.com/download/iphone","Twitter for iPhone")</f>
        <v>Twitter for iPhone</v>
      </c>
      <c r="L972" s="13">
        <v>10773</v>
      </c>
      <c r="M972" s="13">
        <v>1501</v>
      </c>
      <c r="N972" s="13">
        <v>44</v>
      </c>
      <c r="O972" s="15"/>
      <c r="P972" s="6">
        <v>41953.932233796295</v>
      </c>
      <c r="Q972" s="16" t="s">
        <v>2240</v>
      </c>
      <c r="R972" s="17" t="s">
        <v>2241</v>
      </c>
      <c r="S972" s="11" t="s">
        <v>2242</v>
      </c>
      <c r="T972" s="12"/>
      <c r="U972" s="10" t="str">
        <f>HYPERLINK("https://pbs.twimg.com/profile_images/946151168421629954/-vuHyIDF.jpg","View")</f>
        <v>View</v>
      </c>
    </row>
    <row r="973" spans="1:21" ht="51">
      <c r="A973" s="6">
        <v>43420.581886574073</v>
      </c>
      <c r="B973" s="7" t="str">
        <f>HYPERLINK("https://twitter.com/CorreoDeMadrid","@CorreoDeMadrid")</f>
        <v>@CorreoDeMadrid</v>
      </c>
      <c r="C973" s="8" t="s">
        <v>2158</v>
      </c>
      <c r="D973" s="9" t="s">
        <v>3309</v>
      </c>
      <c r="E973" s="10" t="str">
        <f>HYPERLINK("https://twitter.com/CorreoDeMadrid/status/1063415872117776384","1063415872117776384")</f>
        <v>1063415872117776384</v>
      </c>
      <c r="F973" s="11" t="s">
        <v>3310</v>
      </c>
      <c r="G973" s="12"/>
      <c r="H973" s="12"/>
      <c r="I973" s="13">
        <v>6</v>
      </c>
      <c r="J973" s="13">
        <v>7</v>
      </c>
      <c r="K973" s="14" t="str">
        <f t="shared" si="283"/>
        <v>Twitter for iPhone</v>
      </c>
      <c r="L973" s="13">
        <v>4179</v>
      </c>
      <c r="M973" s="13">
        <v>831</v>
      </c>
      <c r="N973" s="13">
        <v>108</v>
      </c>
      <c r="O973" s="15"/>
      <c r="P973" s="6">
        <v>41352.918842592597</v>
      </c>
      <c r="Q973" s="16" t="s">
        <v>104</v>
      </c>
      <c r="R973" s="17" t="s">
        <v>2161</v>
      </c>
      <c r="S973" s="11" t="s">
        <v>549</v>
      </c>
      <c r="T973" s="12"/>
      <c r="U973" s="10" t="str">
        <f>HYPERLINK("https://pbs.twimg.com/profile_images/1001503392605274112/SreMCx1u.jpg","View")</f>
        <v>View</v>
      </c>
    </row>
    <row r="974" spans="1:21" ht="30.6">
      <c r="A974" s="6">
        <v>43420.580324074079</v>
      </c>
      <c r="B974" s="7" t="str">
        <f>HYPERLINK("https://twitter.com/PaquitoJemez","@PaquitoJemez")</f>
        <v>@PaquitoJemez</v>
      </c>
      <c r="C974" s="8" t="s">
        <v>3311</v>
      </c>
      <c r="D974" s="9" t="s">
        <v>3312</v>
      </c>
      <c r="E974" s="10" t="str">
        <f>HYPERLINK("https://twitter.com/PaquitoJemez/status/1063415302791331842","1063415302791331842")</f>
        <v>1063415302791331842</v>
      </c>
      <c r="F974" s="12"/>
      <c r="G974" s="12"/>
      <c r="H974" s="12"/>
      <c r="I974" s="13">
        <v>0</v>
      </c>
      <c r="J974" s="13">
        <v>0</v>
      </c>
      <c r="K974" s="14" t="str">
        <f t="shared" ref="K974:K975" si="284">HYPERLINK("http://twitter.com/download/android","Twitter for Android")</f>
        <v>Twitter for Android</v>
      </c>
      <c r="L974" s="13">
        <v>104</v>
      </c>
      <c r="M974" s="13">
        <v>83</v>
      </c>
      <c r="N974" s="13">
        <v>1</v>
      </c>
      <c r="O974" s="15"/>
      <c r="P974" s="6">
        <v>42296.005335648151</v>
      </c>
      <c r="Q974" s="12"/>
      <c r="R974" s="17" t="s">
        <v>3313</v>
      </c>
      <c r="S974" s="12"/>
      <c r="T974" s="12"/>
      <c r="U974" s="10" t="str">
        <f>HYPERLINK("https://pbs.twimg.com/profile_images/1045243444489261056/-IrKR5kW.jpg","View")</f>
        <v>View</v>
      </c>
    </row>
    <row r="975" spans="1:21" ht="30.6">
      <c r="A975" s="6">
        <v>43420.573680555557</v>
      </c>
      <c r="B975" s="7" t="str">
        <f>HYPERLINK("https://twitter.com/Cowboyenparo","@Cowboyenparo")</f>
        <v>@Cowboyenparo</v>
      </c>
      <c r="C975" s="8" t="s">
        <v>3989</v>
      </c>
      <c r="D975" s="9" t="s">
        <v>3990</v>
      </c>
      <c r="E975" s="10" t="str">
        <f>HYPERLINK("https://twitter.com/Cowboyenparo/status/1063412898461036544","1063412898461036544")</f>
        <v>1063412898461036544</v>
      </c>
      <c r="F975" s="12"/>
      <c r="G975" s="12"/>
      <c r="H975" s="12"/>
      <c r="I975" s="13">
        <v>41</v>
      </c>
      <c r="J975" s="13">
        <v>122</v>
      </c>
      <c r="K975" s="14" t="str">
        <f t="shared" si="284"/>
        <v>Twitter for Android</v>
      </c>
      <c r="L975" s="13">
        <v>3363</v>
      </c>
      <c r="M975" s="13">
        <v>340</v>
      </c>
      <c r="N975" s="13">
        <v>16</v>
      </c>
      <c r="O975" s="15"/>
      <c r="P975" s="6">
        <v>43278.359675925924</v>
      </c>
      <c r="Q975" s="16" t="s">
        <v>3992</v>
      </c>
      <c r="R975" s="17" t="s">
        <v>3993</v>
      </c>
      <c r="S975" s="12"/>
      <c r="T975" s="12"/>
      <c r="U975" s="10" t="str">
        <f>HYPERLINK("https://pbs.twimg.com/profile_images/1035053609526992896/DtgSG78e.jpg","View")</f>
        <v>View</v>
      </c>
    </row>
    <row r="976" spans="1:21" ht="91.8">
      <c r="A976" s="6">
        <v>43420.573055555556</v>
      </c>
      <c r="B976" s="7" t="str">
        <f>HYPERLINK("https://twitter.com/riduran_p","@riduran_p")</f>
        <v>@riduran_p</v>
      </c>
      <c r="C976" s="8" t="s">
        <v>2535</v>
      </c>
      <c r="D976" s="9" t="s">
        <v>3996</v>
      </c>
      <c r="E976" s="10" t="str">
        <f>HYPERLINK("https://twitter.com/riduran_p/status/1063412669800218624","1063412669800218624")</f>
        <v>1063412669800218624</v>
      </c>
      <c r="F976" s="11" t="s">
        <v>3997</v>
      </c>
      <c r="G976" s="12"/>
      <c r="H976" s="12"/>
      <c r="I976" s="13">
        <v>4</v>
      </c>
      <c r="J976" s="13">
        <v>3</v>
      </c>
      <c r="K976" s="14" t="str">
        <f t="shared" ref="K976:K979" si="285">HYPERLINK("http://twitter.com","Twitter Web Client")</f>
        <v>Twitter Web Client</v>
      </c>
      <c r="L976" s="13">
        <v>8433</v>
      </c>
      <c r="M976" s="13">
        <v>7344</v>
      </c>
      <c r="N976" s="13">
        <v>22</v>
      </c>
      <c r="O976" s="15"/>
      <c r="P976" s="6">
        <v>40678.594918981486</v>
      </c>
      <c r="Q976" s="16" t="s">
        <v>188</v>
      </c>
      <c r="R976" s="17" t="s">
        <v>2541</v>
      </c>
      <c r="S976" s="11" t="s">
        <v>2542</v>
      </c>
      <c r="T976" s="12"/>
      <c r="U976" s="10" t="str">
        <f>HYPERLINK("https://pbs.twimg.com/profile_images/972822677244272640/23HaWXad.jpg","View")</f>
        <v>View</v>
      </c>
    </row>
    <row r="977" spans="1:21" ht="40.799999999999997">
      <c r="A977" s="6">
        <v>43420.571631944447</v>
      </c>
      <c r="B977" s="7" t="str">
        <f>HYPERLINK("https://twitter.com/JaviBloodz","@JaviBloodz")</f>
        <v>@JaviBloodz</v>
      </c>
      <c r="C977" s="8" t="s">
        <v>3314</v>
      </c>
      <c r="D977" s="9" t="s">
        <v>3315</v>
      </c>
      <c r="E977" s="10" t="str">
        <f>HYPERLINK("https://twitter.com/JaviBloodz/status/1063412153946906624","1063412153946906624")</f>
        <v>1063412153946906624</v>
      </c>
      <c r="F977" s="11" t="s">
        <v>3316</v>
      </c>
      <c r="G977" s="12"/>
      <c r="H977" s="12"/>
      <c r="I977" s="13">
        <v>0</v>
      </c>
      <c r="J977" s="13">
        <v>0</v>
      </c>
      <c r="K977" s="14" t="str">
        <f t="shared" si="285"/>
        <v>Twitter Web Client</v>
      </c>
      <c r="L977" s="13">
        <v>462</v>
      </c>
      <c r="M977" s="13">
        <v>320</v>
      </c>
      <c r="N977" s="13">
        <v>10</v>
      </c>
      <c r="O977" s="15"/>
      <c r="P977" s="6">
        <v>41004.808946759258</v>
      </c>
      <c r="Q977" s="16" t="s">
        <v>3282</v>
      </c>
      <c r="R977" s="17" t="s">
        <v>3317</v>
      </c>
      <c r="S977" s="12"/>
      <c r="T977" s="12"/>
      <c r="U977" s="10" t="str">
        <f>HYPERLINK("https://pbs.twimg.com/profile_images/909680858738634752/zgM5AMc5.jpg","View")</f>
        <v>View</v>
      </c>
    </row>
    <row r="978" spans="1:21" ht="40.799999999999997">
      <c r="A978" s="6">
        <v>43420.570370370369</v>
      </c>
      <c r="B978" s="7" t="str">
        <f>HYPERLINK("https://twitter.com/ChezNieto","@ChezNieto")</f>
        <v>@ChezNieto</v>
      </c>
      <c r="C978" s="8" t="s">
        <v>4005</v>
      </c>
      <c r="D978" s="9" t="s">
        <v>4006</v>
      </c>
      <c r="E978" s="10" t="str">
        <f>HYPERLINK("https://twitter.com/ChezNieto/status/1063411698118402048","1063411698118402048")</f>
        <v>1063411698118402048</v>
      </c>
      <c r="F978" s="16" t="s">
        <v>4007</v>
      </c>
      <c r="G978" s="12"/>
      <c r="H978" s="12"/>
      <c r="I978" s="13">
        <v>0</v>
      </c>
      <c r="J978" s="13">
        <v>0</v>
      </c>
      <c r="K978" s="14" t="str">
        <f t="shared" si="285"/>
        <v>Twitter Web Client</v>
      </c>
      <c r="L978" s="13">
        <v>5050</v>
      </c>
      <c r="M978" s="13">
        <v>4756</v>
      </c>
      <c r="N978" s="13">
        <v>50</v>
      </c>
      <c r="O978" s="15"/>
      <c r="P978" s="6">
        <v>41341.600729166668</v>
      </c>
      <c r="Q978" s="16" t="s">
        <v>66</v>
      </c>
      <c r="R978" s="17" t="s">
        <v>4008</v>
      </c>
      <c r="S978" s="12"/>
      <c r="T978" s="12"/>
      <c r="U978" s="10" t="str">
        <f>HYPERLINK("https://pbs.twimg.com/profile_images/3750051142/df497636f6b21e0abf733a0e65a50087.jpeg","View")</f>
        <v>View</v>
      </c>
    </row>
    <row r="979" spans="1:21" ht="20.399999999999999">
      <c r="A979" s="6">
        <v>43420.555995370371</v>
      </c>
      <c r="B979" s="7" t="str">
        <f>HYPERLINK("https://twitter.com/Belda1954","@Belda1954")</f>
        <v>@Belda1954</v>
      </c>
      <c r="C979" s="8" t="s">
        <v>4011</v>
      </c>
      <c r="D979" s="9" t="s">
        <v>2432</v>
      </c>
      <c r="E979" s="10" t="str">
        <f>HYPERLINK("https://twitter.com/Belda1954/status/1063406488587255809","1063406488587255809")</f>
        <v>1063406488587255809</v>
      </c>
      <c r="F979" s="11" t="s">
        <v>2433</v>
      </c>
      <c r="G979" s="12"/>
      <c r="H979" s="12"/>
      <c r="I979" s="13">
        <v>0</v>
      </c>
      <c r="J979" s="13">
        <v>0</v>
      </c>
      <c r="K979" s="14" t="str">
        <f t="shared" si="285"/>
        <v>Twitter Web Client</v>
      </c>
      <c r="L979" s="13">
        <v>333</v>
      </c>
      <c r="M979" s="13">
        <v>1031</v>
      </c>
      <c r="N979" s="13">
        <v>7</v>
      </c>
      <c r="O979" s="15"/>
      <c r="P979" s="6">
        <v>40445.780740740738</v>
      </c>
      <c r="Q979" s="16" t="s">
        <v>66</v>
      </c>
      <c r="R979" s="17" t="s">
        <v>4013</v>
      </c>
      <c r="S979" s="12"/>
      <c r="T979" s="12"/>
      <c r="U979" s="10" t="str">
        <f>HYPERLINK("https://pbs.twimg.com/profile_images/760042410126737408/0vT_CbAN.jpg","View")</f>
        <v>View</v>
      </c>
    </row>
    <row r="980" spans="1:21" ht="30.6">
      <c r="A980" s="6">
        <v>43420.555752314816</v>
      </c>
      <c r="B980" s="7" t="str">
        <f>HYPERLINK("https://twitter.com/Charran_Esp","@Charran_Esp")</f>
        <v>@Charran_Esp</v>
      </c>
      <c r="C980" s="8" t="s">
        <v>3232</v>
      </c>
      <c r="D980" s="9" t="s">
        <v>3234</v>
      </c>
      <c r="E980" s="10" t="str">
        <f>HYPERLINK("https://twitter.com/Charran_Esp/status/1063406398757920769","1063406398757920769")</f>
        <v>1063406398757920769</v>
      </c>
      <c r="F980" s="11" t="s">
        <v>2356</v>
      </c>
      <c r="G980" s="12"/>
      <c r="H980" s="12"/>
      <c r="I980" s="13">
        <v>0</v>
      </c>
      <c r="J980" s="13">
        <v>0</v>
      </c>
      <c r="K980" s="14" t="str">
        <f>HYPERLINK("https://ifttt.com","IFTTT")</f>
        <v>IFTTT</v>
      </c>
      <c r="L980" s="13">
        <v>59</v>
      </c>
      <c r="M980" s="13">
        <v>71</v>
      </c>
      <c r="N980" s="13">
        <v>0</v>
      </c>
      <c r="O980" s="15"/>
      <c r="P980" s="6">
        <v>42915.451712962968</v>
      </c>
      <c r="Q980" s="16" t="s">
        <v>66</v>
      </c>
      <c r="R980" s="17" t="s">
        <v>3235</v>
      </c>
      <c r="S980" s="12"/>
      <c r="T980" s="12"/>
      <c r="U980" s="10" t="str">
        <f>HYPERLINK("https://pbs.twimg.com/profile_images/880349188244078592/vsdcBU4x.jpg","View")</f>
        <v>View</v>
      </c>
    </row>
    <row r="981" spans="1:21" ht="51">
      <c r="A981" s="6">
        <v>43420.554872685185</v>
      </c>
      <c r="B981" s="7" t="str">
        <f>HYPERLINK("https://twitter.com/AndresSanto_","@AndresSanto_")</f>
        <v>@AndresSanto_</v>
      </c>
      <c r="C981" s="8" t="s">
        <v>398</v>
      </c>
      <c r="D981" s="9" t="s">
        <v>3318</v>
      </c>
      <c r="E981" s="10" t="str">
        <f>HYPERLINK("https://twitter.com/AndresSanto_/status/1063406082108940289","1063406082108940289")</f>
        <v>1063406082108940289</v>
      </c>
      <c r="F981" s="16" t="s">
        <v>3319</v>
      </c>
      <c r="G981" s="11" t="s">
        <v>3320</v>
      </c>
      <c r="H981" s="12"/>
      <c r="I981" s="13">
        <v>1</v>
      </c>
      <c r="J981" s="13">
        <v>1</v>
      </c>
      <c r="K981" s="14" t="str">
        <f t="shared" ref="K981:K982" si="286">HYPERLINK("http://twitter.com","Twitter Web Client")</f>
        <v>Twitter Web Client</v>
      </c>
      <c r="L981" s="13">
        <v>2303</v>
      </c>
      <c r="M981" s="13">
        <v>1820</v>
      </c>
      <c r="N981" s="13">
        <v>68</v>
      </c>
      <c r="O981" s="15"/>
      <c r="P981" s="6">
        <v>40773.75135416667</v>
      </c>
      <c r="Q981" s="16" t="s">
        <v>111</v>
      </c>
      <c r="R981" s="17" t="s">
        <v>401</v>
      </c>
      <c r="S981" s="12"/>
      <c r="T981" s="12"/>
      <c r="U981" s="10" t="str">
        <f>HYPERLINK("https://pbs.twimg.com/profile_images/1062028217861709824/wyaW6mQk.jpg","View")</f>
        <v>View</v>
      </c>
    </row>
    <row r="982" spans="1:21" ht="40.799999999999997">
      <c r="A982" s="6">
        <v>43420.553923611107</v>
      </c>
      <c r="B982" s="7" t="str">
        <f>HYPERLINK("https://twitter.com/ESdiario_com","@ESdiario_com")</f>
        <v>@ESdiario_com</v>
      </c>
      <c r="C982" s="8" t="s">
        <v>3240</v>
      </c>
      <c r="D982" s="9" t="s">
        <v>3241</v>
      </c>
      <c r="E982" s="10" t="str">
        <f>HYPERLINK("https://twitter.com/ESdiario_com/status/1063405735487438853","1063405735487438853")</f>
        <v>1063405735487438853</v>
      </c>
      <c r="F982" s="11" t="s">
        <v>2356</v>
      </c>
      <c r="G982" s="12"/>
      <c r="H982" s="12"/>
      <c r="I982" s="13">
        <v>3</v>
      </c>
      <c r="J982" s="13">
        <v>0</v>
      </c>
      <c r="K982" s="14" t="str">
        <f t="shared" si="286"/>
        <v>Twitter Web Client</v>
      </c>
      <c r="L982" s="13">
        <v>30818</v>
      </c>
      <c r="M982" s="13">
        <v>706</v>
      </c>
      <c r="N982" s="13">
        <v>494</v>
      </c>
      <c r="O982" s="15"/>
      <c r="P982" s="6">
        <v>40584.500949074078</v>
      </c>
      <c r="Q982" s="16" t="s">
        <v>644</v>
      </c>
      <c r="R982" s="17" t="s">
        <v>3243</v>
      </c>
      <c r="S982" s="11" t="s">
        <v>3244</v>
      </c>
      <c r="T982" s="12"/>
      <c r="U982" s="10" t="str">
        <f>HYPERLINK("https://pbs.twimg.com/profile_images/708363281308753920/7qh3akOb.jpg","View")</f>
        <v>View</v>
      </c>
    </row>
    <row r="983" spans="1:21" ht="40.799999999999997">
      <c r="A983" s="6">
        <v>43420.553796296299</v>
      </c>
      <c r="B983" s="7" t="str">
        <f>HYPERLINK("https://twitter.com/amcp150155","@amcp150155")</f>
        <v>@amcp150155</v>
      </c>
      <c r="C983" s="8" t="s">
        <v>3321</v>
      </c>
      <c r="D983" s="9" t="s">
        <v>3322</v>
      </c>
      <c r="E983" s="10" t="str">
        <f>HYPERLINK("https://twitter.com/amcp150155/status/1063405691283677185","1063405691283677185")</f>
        <v>1063405691283677185</v>
      </c>
      <c r="F983" s="12"/>
      <c r="G983" s="11" t="s">
        <v>3323</v>
      </c>
      <c r="H983" s="12"/>
      <c r="I983" s="13">
        <v>1</v>
      </c>
      <c r="J983" s="13">
        <v>0</v>
      </c>
      <c r="K983" s="14" t="str">
        <f t="shared" ref="K983:K984" si="287">HYPERLINK("http://twitter.com/download/android","Twitter for Android")</f>
        <v>Twitter for Android</v>
      </c>
      <c r="L983" s="13">
        <v>650</v>
      </c>
      <c r="M983" s="13">
        <v>621</v>
      </c>
      <c r="N983" s="13">
        <v>2</v>
      </c>
      <c r="O983" s="15"/>
      <c r="P983" s="6">
        <v>41862.003888888888</v>
      </c>
      <c r="Q983" s="12"/>
      <c r="R983" s="21"/>
      <c r="S983" s="12"/>
      <c r="T983" s="12"/>
      <c r="U983" s="10" t="str">
        <f>HYPERLINK("https://pbs.twimg.com/profile_images/498591314754408449/CLwcQ7el.jpeg","View")</f>
        <v>View</v>
      </c>
    </row>
    <row r="984" spans="1:21" ht="71.400000000000006">
      <c r="A984" s="6">
        <v>43420.550393518519</v>
      </c>
      <c r="B984" s="7" t="str">
        <f>HYPERLINK("https://twitter.com/Esperan72342738","@Esperan72342738")</f>
        <v>@Esperan72342738</v>
      </c>
      <c r="C984" s="8" t="s">
        <v>926</v>
      </c>
      <c r="D984" s="9" t="s">
        <v>3324</v>
      </c>
      <c r="E984" s="10" t="str">
        <f>HYPERLINK("https://twitter.com/Esperan72342738/status/1063404458053435392","1063404458053435392")</f>
        <v>1063404458053435392</v>
      </c>
      <c r="F984" s="11" t="s">
        <v>3325</v>
      </c>
      <c r="G984" s="12"/>
      <c r="H984" s="12"/>
      <c r="I984" s="13">
        <v>1</v>
      </c>
      <c r="J984" s="13">
        <v>3</v>
      </c>
      <c r="K984" s="14" t="str">
        <f t="shared" si="287"/>
        <v>Twitter for Android</v>
      </c>
      <c r="L984" s="13">
        <v>40</v>
      </c>
      <c r="M984" s="13">
        <v>127</v>
      </c>
      <c r="N984" s="13">
        <v>1</v>
      </c>
      <c r="O984" s="15"/>
      <c r="P984" s="6">
        <v>43349.959178240737</v>
      </c>
      <c r="Q984" s="16" t="s">
        <v>929</v>
      </c>
      <c r="R984" s="17" t="s">
        <v>930</v>
      </c>
      <c r="S984" s="12"/>
      <c r="T984" s="12"/>
      <c r="U984" s="10" t="str">
        <f>HYPERLINK("https://pbs.twimg.com/profile_images/1038890872006426630/jGHMvJos.jpg","View")</f>
        <v>View</v>
      </c>
    </row>
    <row r="985" spans="1:21" ht="40.799999999999997">
      <c r="A985" s="6">
        <v>43420.549432870372</v>
      </c>
      <c r="B985" s="7" t="str">
        <f>HYPERLINK("https://twitter.com/andaluciacaza","@andaluciacaza")</f>
        <v>@andaluciacaza</v>
      </c>
      <c r="C985" s="8" t="s">
        <v>578</v>
      </c>
      <c r="D985" s="9" t="s">
        <v>3326</v>
      </c>
      <c r="E985" s="10" t="str">
        <f>HYPERLINK("https://twitter.com/andaluciacaza/status/1063404107766079488","1063404107766079488")</f>
        <v>1063404107766079488</v>
      </c>
      <c r="F985" s="11" t="s">
        <v>3327</v>
      </c>
      <c r="G985" s="11" t="s">
        <v>3104</v>
      </c>
      <c r="H985" s="12"/>
      <c r="I985" s="13">
        <v>165</v>
      </c>
      <c r="J985" s="13">
        <v>223</v>
      </c>
      <c r="K985" s="14" t="str">
        <f>HYPERLINK("http://twitter.com/download/iphone","Twitter for iPhone")</f>
        <v>Twitter for iPhone</v>
      </c>
      <c r="L985" s="13">
        <v>5268</v>
      </c>
      <c r="M985" s="13">
        <v>609</v>
      </c>
      <c r="N985" s="13">
        <v>42</v>
      </c>
      <c r="O985" s="15"/>
      <c r="P985" s="6">
        <v>40963.870659722219</v>
      </c>
      <c r="Q985" s="16" t="s">
        <v>583</v>
      </c>
      <c r="R985" s="17" t="s">
        <v>584</v>
      </c>
      <c r="S985" s="11" t="s">
        <v>585</v>
      </c>
      <c r="T985" s="12"/>
      <c r="U985" s="10" t="str">
        <f>HYPERLINK("https://pbs.twimg.com/profile_images/933001755230703618/pWJ6pIQX.jpg","View")</f>
        <v>View</v>
      </c>
    </row>
    <row r="986" spans="1:21" ht="40.799999999999997">
      <c r="A986" s="6">
        <v>43420.548946759256</v>
      </c>
      <c r="B986" s="7" t="str">
        <f>HYPERLINK("https://twitter.com/copsapm","@copsapm")</f>
        <v>@copsapm</v>
      </c>
      <c r="C986" s="8" t="s">
        <v>3329</v>
      </c>
      <c r="D986" s="9" t="s">
        <v>3330</v>
      </c>
      <c r="E986" s="10" t="str">
        <f>HYPERLINK("https://twitter.com/copsapm/status/1063403932347785216","1063403932347785216")</f>
        <v>1063403932347785216</v>
      </c>
      <c r="F986" s="12"/>
      <c r="G986" s="11" t="s">
        <v>3333</v>
      </c>
      <c r="H986" s="12"/>
      <c r="I986" s="13">
        <v>0</v>
      </c>
      <c r="J986" s="13">
        <v>5</v>
      </c>
      <c r="K986" s="14" t="str">
        <f t="shared" ref="K986:K987" si="288">HYPERLINK("http://twitter.com/download/android","Twitter for Android")</f>
        <v>Twitter for Android</v>
      </c>
      <c r="L986" s="13">
        <v>490</v>
      </c>
      <c r="M986" s="13">
        <v>547</v>
      </c>
      <c r="N986" s="13">
        <v>3</v>
      </c>
      <c r="O986" s="15"/>
      <c r="P986" s="6">
        <v>42256.978125000001</v>
      </c>
      <c r="Q986" s="16" t="s">
        <v>66</v>
      </c>
      <c r="R986" s="17" t="s">
        <v>3334</v>
      </c>
      <c r="S986" s="11" t="s">
        <v>3335</v>
      </c>
      <c r="T986" s="12"/>
      <c r="U986" s="10" t="str">
        <f>HYPERLINK("https://pbs.twimg.com/profile_images/641725672948412416/aPh8pjOr.png","View")</f>
        <v>View</v>
      </c>
    </row>
    <row r="987" spans="1:21" ht="51">
      <c r="A987" s="6">
        <v>43420.543078703704</v>
      </c>
      <c r="B987" s="7" t="str">
        <f>HYPERLINK("https://twitter.com/EduJRobles","@EduJRobles")</f>
        <v>@EduJRobles</v>
      </c>
      <c r="C987" s="8" t="s">
        <v>243</v>
      </c>
      <c r="D987" s="9" t="s">
        <v>3336</v>
      </c>
      <c r="E987" s="10" t="str">
        <f>HYPERLINK("https://twitter.com/EduJRobles/status/1063401806951260160","1063401806951260160")</f>
        <v>1063401806951260160</v>
      </c>
      <c r="F987" s="12"/>
      <c r="G987" s="11" t="s">
        <v>3337</v>
      </c>
      <c r="H987" s="12"/>
      <c r="I987" s="13">
        <v>2</v>
      </c>
      <c r="J987" s="13">
        <v>1</v>
      </c>
      <c r="K987" s="14" t="str">
        <f t="shared" si="288"/>
        <v>Twitter for Android</v>
      </c>
      <c r="L987" s="13">
        <v>2105</v>
      </c>
      <c r="M987" s="13">
        <v>153</v>
      </c>
      <c r="N987" s="13">
        <v>34</v>
      </c>
      <c r="O987" s="15"/>
      <c r="P987" s="6">
        <v>41484.599675925929</v>
      </c>
      <c r="Q987" s="16" t="s">
        <v>3338</v>
      </c>
      <c r="R987" s="17" t="s">
        <v>3339</v>
      </c>
      <c r="S987" s="12"/>
      <c r="T987" s="12"/>
      <c r="U987" s="10" t="str">
        <f>HYPERLINK("https://pbs.twimg.com/profile_images/1060253745483862021/BLw0fyFK.jpg","View")</f>
        <v>View</v>
      </c>
    </row>
    <row r="988" spans="1:21" ht="30.6">
      <c r="A988" s="6">
        <v>43420.533402777779</v>
      </c>
      <c r="B988" s="7" t="str">
        <f>HYPERLINK("https://twitter.com/gariebo","@gariebo")</f>
        <v>@gariebo</v>
      </c>
      <c r="C988" s="8" t="s">
        <v>4050</v>
      </c>
      <c r="D988" s="9" t="s">
        <v>4051</v>
      </c>
      <c r="E988" s="10" t="str">
        <f>HYPERLINK("https://twitter.com/gariebo/status/1063398299305222144","1063398299305222144")</f>
        <v>1063398299305222144</v>
      </c>
      <c r="F988" s="16" t="s">
        <v>4053</v>
      </c>
      <c r="G988" s="11" t="s">
        <v>4054</v>
      </c>
      <c r="H988" s="12"/>
      <c r="I988" s="13">
        <v>0</v>
      </c>
      <c r="J988" s="13">
        <v>1</v>
      </c>
      <c r="K988" s="14" t="str">
        <f t="shared" ref="K988:K989" si="289">HYPERLINK("http://twitter.com","Twitter Web Client")</f>
        <v>Twitter Web Client</v>
      </c>
      <c r="L988" s="13">
        <v>1463</v>
      </c>
      <c r="M988" s="13">
        <v>1789</v>
      </c>
      <c r="N988" s="13">
        <v>148</v>
      </c>
      <c r="O988" s="15"/>
      <c r="P988" s="6">
        <v>40364.922326388885</v>
      </c>
      <c r="Q988" s="12"/>
      <c r="R988" s="17" t="s">
        <v>4056</v>
      </c>
      <c r="S988" s="11" t="s">
        <v>4057</v>
      </c>
      <c r="T988" s="12"/>
      <c r="U988" s="10" t="str">
        <f>HYPERLINK("https://pbs.twimg.com/profile_images/993984489712963584/sTm0OisM.jpg","View")</f>
        <v>View</v>
      </c>
    </row>
    <row r="989" spans="1:21" ht="40.799999999999997">
      <c r="A989" s="6">
        <v>43420.522326388891</v>
      </c>
      <c r="B989" s="7" t="str">
        <f>HYPERLINK("https://twitter.com/_bielopez_","@_bielopez_")</f>
        <v>@_bielopez_</v>
      </c>
      <c r="C989" s="8" t="s">
        <v>3340</v>
      </c>
      <c r="D989" s="9" t="s">
        <v>3341</v>
      </c>
      <c r="E989" s="10" t="str">
        <f>HYPERLINK("https://twitter.com/_bielopez_/status/1063394285914152960","1063394285914152960")</f>
        <v>1063394285914152960</v>
      </c>
      <c r="F989" s="12"/>
      <c r="G989" s="11" t="s">
        <v>3342</v>
      </c>
      <c r="H989" s="12"/>
      <c r="I989" s="13">
        <v>0</v>
      </c>
      <c r="J989" s="13">
        <v>0</v>
      </c>
      <c r="K989" s="14" t="str">
        <f t="shared" si="289"/>
        <v>Twitter Web Client</v>
      </c>
      <c r="L989" s="13">
        <v>451</v>
      </c>
      <c r="M989" s="13">
        <v>1070</v>
      </c>
      <c r="N989" s="13">
        <v>0</v>
      </c>
      <c r="O989" s="15"/>
      <c r="P989" s="6">
        <v>43384.664930555555</v>
      </c>
      <c r="Q989" s="16" t="s">
        <v>3343</v>
      </c>
      <c r="R989" s="17" t="s">
        <v>3344</v>
      </c>
      <c r="S989" s="12"/>
      <c r="T989" s="12"/>
      <c r="U989" s="10" t="str">
        <f>HYPERLINK("https://pbs.twimg.com/profile_images/1050725437817712641/J284Uubf.jpg","View")</f>
        <v>View</v>
      </c>
    </row>
    <row r="990" spans="1:21" ht="40.799999999999997">
      <c r="A990" s="6">
        <v>43420.520798611113</v>
      </c>
      <c r="B990" s="7" t="str">
        <f>HYPERLINK("https://twitter.com/pablog0109","@pablog0109")</f>
        <v>@pablog0109</v>
      </c>
      <c r="C990" s="8" t="s">
        <v>3345</v>
      </c>
      <c r="D990" s="9" t="s">
        <v>3346</v>
      </c>
      <c r="E990" s="10" t="str">
        <f>HYPERLINK("https://twitter.com/pablog0109/status/1063393732735762432","1063393732735762432")</f>
        <v>1063393732735762432</v>
      </c>
      <c r="F990" s="11" t="s">
        <v>3316</v>
      </c>
      <c r="G990" s="12"/>
      <c r="H990" s="12"/>
      <c r="I990" s="13">
        <v>0</v>
      </c>
      <c r="J990" s="13">
        <v>3</v>
      </c>
      <c r="K990" s="14" t="str">
        <f>HYPERLINK("http://twitter.com/download/iphone","Twitter for iPhone")</f>
        <v>Twitter for iPhone</v>
      </c>
      <c r="L990" s="13">
        <v>98</v>
      </c>
      <c r="M990" s="13">
        <v>106</v>
      </c>
      <c r="N990" s="13">
        <v>8</v>
      </c>
      <c r="O990" s="15"/>
      <c r="P990" s="6">
        <v>41278.506145833337</v>
      </c>
      <c r="Q990" s="12"/>
      <c r="R990" s="21"/>
      <c r="S990" s="12"/>
      <c r="T990" s="12"/>
      <c r="U990" s="10" t="str">
        <f>HYPERLINK("https://pbs.twimg.com/profile_images/811315450751700993/J5A28ue5.jpg","View")</f>
        <v>View</v>
      </c>
    </row>
    <row r="991" spans="1:21" ht="30.6">
      <c r="A991" s="6">
        <v>43420.519363425927</v>
      </c>
      <c r="B991" s="7" t="str">
        <f>HYPERLINK("https://twitter.com/profesorjaen","@profesorjaen")</f>
        <v>@profesorjaen</v>
      </c>
      <c r="C991" s="8" t="s">
        <v>2688</v>
      </c>
      <c r="D991" s="9" t="s">
        <v>3350</v>
      </c>
      <c r="E991" s="10" t="str">
        <f>HYPERLINK("https://twitter.com/profesorjaen/status/1063393214705688578","1063393214705688578")</f>
        <v>1063393214705688578</v>
      </c>
      <c r="F991" s="12"/>
      <c r="G991" s="11" t="s">
        <v>3351</v>
      </c>
      <c r="H991" s="12"/>
      <c r="I991" s="13">
        <v>5</v>
      </c>
      <c r="J991" s="13">
        <v>24</v>
      </c>
      <c r="K991" s="14" t="str">
        <f>HYPERLINK("http://twitter.com/download/android","Twitter for Android")</f>
        <v>Twitter for Android</v>
      </c>
      <c r="L991" s="13">
        <v>6310</v>
      </c>
      <c r="M991" s="13">
        <v>210</v>
      </c>
      <c r="N991" s="13">
        <v>118</v>
      </c>
      <c r="O991" s="15"/>
      <c r="P991" s="6">
        <v>40844.911736111113</v>
      </c>
      <c r="Q991" s="16" t="s">
        <v>66</v>
      </c>
      <c r="R991" s="17" t="s">
        <v>2691</v>
      </c>
      <c r="S991" s="11" t="s">
        <v>2692</v>
      </c>
      <c r="T991" s="12"/>
      <c r="U991" s="10" t="str">
        <f>HYPERLINK("https://pbs.twimg.com/profile_images/914109676748509184/ubpWdGIE.jpg","View")</f>
        <v>View</v>
      </c>
    </row>
    <row r="992" spans="1:21" ht="61.2">
      <c r="A992" s="6">
        <v>43420.515555555554</v>
      </c>
      <c r="B992" s="7" t="str">
        <f>HYPERLINK("https://twitter.com/Diegoodipa","@Diegoodipa")</f>
        <v>@Diegoodipa</v>
      </c>
      <c r="C992" s="8" t="s">
        <v>4075</v>
      </c>
      <c r="D992" s="9" t="s">
        <v>4076</v>
      </c>
      <c r="E992" s="10" t="str">
        <f>HYPERLINK("https://twitter.com/Diegoodipa/status/1063391833722683393","1063391833722683393")</f>
        <v>1063391833722683393</v>
      </c>
      <c r="F992" s="16" t="s">
        <v>4077</v>
      </c>
      <c r="G992" s="11" t="s">
        <v>4078</v>
      </c>
      <c r="H992" s="12"/>
      <c r="I992" s="13">
        <v>0</v>
      </c>
      <c r="J992" s="13">
        <v>0</v>
      </c>
      <c r="K992" s="14" t="str">
        <f>HYPERLINK("http://twitter.com","Twitter Web Client")</f>
        <v>Twitter Web Client</v>
      </c>
      <c r="L992" s="13">
        <v>96</v>
      </c>
      <c r="M992" s="13">
        <v>210</v>
      </c>
      <c r="N992" s="13">
        <v>0</v>
      </c>
      <c r="O992" s="15"/>
      <c r="P992" s="6">
        <v>43182.773414351846</v>
      </c>
      <c r="Q992" s="16" t="s">
        <v>4081</v>
      </c>
      <c r="R992" s="17" t="s">
        <v>4083</v>
      </c>
      <c r="S992" s="12"/>
      <c r="T992" s="12"/>
      <c r="U992" s="10" t="str">
        <f>HYPERLINK("https://pbs.twimg.com/profile_images/1000142324419256320/aY3bjH8q.jpg","View")</f>
        <v>View</v>
      </c>
    </row>
    <row r="993" spans="1:21" ht="20.399999999999999">
      <c r="A993" s="6">
        <v>43420.514201388884</v>
      </c>
      <c r="B993" s="7" t="str">
        <f>HYPERLINK("https://twitter.com/capitanbelial","@capitanbelial")</f>
        <v>@capitanbelial</v>
      </c>
      <c r="C993" s="8" t="s">
        <v>3352</v>
      </c>
      <c r="D993" s="9" t="s">
        <v>3353</v>
      </c>
      <c r="E993" s="10" t="str">
        <f>HYPERLINK("https://twitter.com/capitanbelial/status/1063391340665466880","1063391340665466880")</f>
        <v>1063391340665466880</v>
      </c>
      <c r="F993" s="12"/>
      <c r="G993" s="12"/>
      <c r="H993" s="12"/>
      <c r="I993" s="13">
        <v>0</v>
      </c>
      <c r="J993" s="13">
        <v>0</v>
      </c>
      <c r="K993" s="14" t="str">
        <f>HYPERLINK("http://twitter.com/download/android","Twitter for Android")</f>
        <v>Twitter for Android</v>
      </c>
      <c r="L993" s="13">
        <v>11</v>
      </c>
      <c r="M993" s="13">
        <v>42</v>
      </c>
      <c r="N993" s="13">
        <v>0</v>
      </c>
      <c r="O993" s="15"/>
      <c r="P993" s="6">
        <v>43395.909363425926</v>
      </c>
      <c r="Q993" s="16" t="s">
        <v>3354</v>
      </c>
      <c r="R993" s="17" t="s">
        <v>3355</v>
      </c>
      <c r="S993" s="12"/>
      <c r="T993" s="12"/>
      <c r="U993" s="10" t="str">
        <f>HYPERLINK("https://pbs.twimg.com/profile_images/1061920884016009216/lIqN3WLr.jpg","View")</f>
        <v>View</v>
      </c>
    </row>
    <row r="994" spans="1:21" ht="20.399999999999999">
      <c r="A994" s="6">
        <v>43420.513888888891</v>
      </c>
      <c r="B994" s="7" t="str">
        <f>HYPERLINK("https://twitter.com/ABC_PlayTV","@ABC_PlayTV")</f>
        <v>@ABC_PlayTV</v>
      </c>
      <c r="C994" s="8" t="s">
        <v>3278</v>
      </c>
      <c r="D994" s="9" t="s">
        <v>3279</v>
      </c>
      <c r="E994" s="10" t="str">
        <f>HYPERLINK("https://twitter.com/ABC_PlayTV/status/1063391230560780289","1063391230560780289")</f>
        <v>1063391230560780289</v>
      </c>
      <c r="F994" s="11" t="s">
        <v>3281</v>
      </c>
      <c r="G994" s="12"/>
      <c r="H994" s="12"/>
      <c r="I994" s="13">
        <v>0</v>
      </c>
      <c r="J994" s="13">
        <v>0</v>
      </c>
      <c r="K994" s="14" t="str">
        <f>HYPERLINK("http://dogtrack.es","DogTrack_Oficial")</f>
        <v>DogTrack_Oficial</v>
      </c>
      <c r="L994" s="13">
        <v>2656</v>
      </c>
      <c r="M994" s="13">
        <v>405</v>
      </c>
      <c r="N994" s="13">
        <v>122</v>
      </c>
      <c r="O994" s="15"/>
      <c r="P994" s="6">
        <v>40094.689305555556</v>
      </c>
      <c r="Q994" s="16" t="s">
        <v>3282</v>
      </c>
      <c r="R994" s="17" t="s">
        <v>3283</v>
      </c>
      <c r="S994" s="11" t="s">
        <v>3284</v>
      </c>
      <c r="T994" s="12"/>
      <c r="U994" s="10" t="str">
        <f>HYPERLINK("https://pbs.twimg.com/profile_images/912364115917754368/ZwDJMc_g.jpg","View")</f>
        <v>View</v>
      </c>
    </row>
    <row r="995" spans="1:21" ht="30.6">
      <c r="A995" s="6">
        <v>43420.510648148149</v>
      </c>
      <c r="B995" s="7" t="str">
        <f>HYPERLINK("https://twitter.com/JSMadrid","@JSMadrid")</f>
        <v>@JSMadrid</v>
      </c>
      <c r="C995" s="8" t="s">
        <v>4087</v>
      </c>
      <c r="D995" s="9" t="s">
        <v>4088</v>
      </c>
      <c r="E995" s="10" t="str">
        <f>HYPERLINK("https://twitter.com/JSMadrid/status/1063390055572692992","1063390055572692992")</f>
        <v>1063390055572692992</v>
      </c>
      <c r="F995" s="11" t="s">
        <v>4089</v>
      </c>
      <c r="G995" s="11" t="s">
        <v>4078</v>
      </c>
      <c r="H995" s="12"/>
      <c r="I995" s="13">
        <v>33</v>
      </c>
      <c r="J995" s="13">
        <v>31</v>
      </c>
      <c r="K995" s="14" t="str">
        <f t="shared" ref="K995:K996" si="290">HYPERLINK("http://twitter.com/download/android","Twitter for Android")</f>
        <v>Twitter for Android</v>
      </c>
      <c r="L995" s="13">
        <v>12016</v>
      </c>
      <c r="M995" s="13">
        <v>7404</v>
      </c>
      <c r="N995" s="13">
        <v>161</v>
      </c>
      <c r="O995" s="15"/>
      <c r="P995" s="6">
        <v>39895.720324074078</v>
      </c>
      <c r="Q995" s="16" t="s">
        <v>158</v>
      </c>
      <c r="R995" s="17" t="s">
        <v>4092</v>
      </c>
      <c r="S995" s="11" t="s">
        <v>4093</v>
      </c>
      <c r="T995" s="12"/>
      <c r="U995" s="10" t="str">
        <f>HYPERLINK("https://pbs.twimg.com/profile_images/934876387466448897/ihMgBwDt.jpg","View")</f>
        <v>View</v>
      </c>
    </row>
    <row r="996" spans="1:21" ht="30.6">
      <c r="A996" s="6">
        <v>43420.509085648147</v>
      </c>
      <c r="B996" s="7" t="str">
        <f>HYPERLINK("https://twitter.com/disfrazad0","@disfrazad0")</f>
        <v>@disfrazad0</v>
      </c>
      <c r="C996" s="8" t="s">
        <v>3356</v>
      </c>
      <c r="D996" s="9" t="s">
        <v>3357</v>
      </c>
      <c r="E996" s="10" t="str">
        <f>HYPERLINK("https://twitter.com/disfrazad0/status/1063389488737587200","1063389488737587200")</f>
        <v>1063389488737587200</v>
      </c>
      <c r="F996" s="12"/>
      <c r="G996" s="11" t="s">
        <v>3358</v>
      </c>
      <c r="H996" s="12"/>
      <c r="I996" s="13">
        <v>8</v>
      </c>
      <c r="J996" s="13">
        <v>7</v>
      </c>
      <c r="K996" s="14" t="str">
        <f t="shared" si="290"/>
        <v>Twitter for Android</v>
      </c>
      <c r="L996" s="13">
        <v>4148</v>
      </c>
      <c r="M996" s="13">
        <v>825</v>
      </c>
      <c r="N996" s="13">
        <v>36</v>
      </c>
      <c r="O996" s="15"/>
      <c r="P996" s="6">
        <v>41978.620254629626</v>
      </c>
      <c r="Q996" s="16" t="s">
        <v>3359</v>
      </c>
      <c r="R996" s="17" t="s">
        <v>3360</v>
      </c>
      <c r="S996" s="12"/>
      <c r="T996" s="12"/>
      <c r="U996" s="10" t="str">
        <f>HYPERLINK("https://pbs.twimg.com/profile_images/1037610443056013312/q7UVwz-G.jpg","View")</f>
        <v>View</v>
      </c>
    </row>
    <row r="997" spans="1:21" ht="20.399999999999999">
      <c r="A997" s="6">
        <v>43420.50645833333</v>
      </c>
      <c r="B997" s="7" t="str">
        <f>HYPERLINK("https://twitter.com/odelamata","@odelamata")</f>
        <v>@odelamata</v>
      </c>
      <c r="C997" s="8" t="s">
        <v>4096</v>
      </c>
      <c r="D997" s="9" t="s">
        <v>4097</v>
      </c>
      <c r="E997" s="10" t="str">
        <f>HYPERLINK("https://twitter.com/odelamata/status/1063388537758846976","1063388537758846976")</f>
        <v>1063388537758846976</v>
      </c>
      <c r="F997" s="12"/>
      <c r="G997" s="11" t="s">
        <v>4098</v>
      </c>
      <c r="H997" s="12"/>
      <c r="I997" s="13">
        <v>0</v>
      </c>
      <c r="J997" s="13">
        <v>1</v>
      </c>
      <c r="K997" s="14" t="str">
        <f>HYPERLINK("http://twitter.com","Twitter Web Client")</f>
        <v>Twitter Web Client</v>
      </c>
      <c r="L997" s="13">
        <v>151</v>
      </c>
      <c r="M997" s="13">
        <v>176</v>
      </c>
      <c r="N997" s="13">
        <v>10</v>
      </c>
      <c r="O997" s="15"/>
      <c r="P997" s="6">
        <v>42019.90043981481</v>
      </c>
      <c r="Q997" s="12"/>
      <c r="R997" s="17" t="s">
        <v>4101</v>
      </c>
      <c r="S997" s="12"/>
      <c r="T997" s="12"/>
      <c r="U997" s="10" t="str">
        <f>HYPERLINK("https://pbs.twimg.com/profile_images/1061189136458092544/NFBAsjYc.jpg","View")</f>
        <v>View</v>
      </c>
    </row>
    <row r="998" spans="1:21" ht="71.400000000000006">
      <c r="A998" s="6">
        <v>43420.505115740743</v>
      </c>
      <c r="B998" s="7" t="str">
        <f>HYPERLINK("https://twitter.com/AlberRoC","@AlberRoC")</f>
        <v>@AlberRoC</v>
      </c>
      <c r="C998" s="8" t="s">
        <v>2243</v>
      </c>
      <c r="D998" s="9" t="s">
        <v>3361</v>
      </c>
      <c r="E998" s="10" t="str">
        <f>HYPERLINK("https://twitter.com/AlberRoC/status/1063388048132587520","1063388048132587520")</f>
        <v>1063388048132587520</v>
      </c>
      <c r="F998" s="16" t="s">
        <v>3362</v>
      </c>
      <c r="G998" s="12"/>
      <c r="H998" s="12"/>
      <c r="I998" s="13">
        <v>1</v>
      </c>
      <c r="J998" s="13">
        <v>0</v>
      </c>
      <c r="K998" s="14" t="str">
        <f>HYPERLINK("http://twitter.com/download/iphone","Twitter for iPhone")</f>
        <v>Twitter for iPhone</v>
      </c>
      <c r="L998" s="13">
        <v>2198</v>
      </c>
      <c r="M998" s="13">
        <v>2829</v>
      </c>
      <c r="N998" s="13">
        <v>32</v>
      </c>
      <c r="O998" s="15"/>
      <c r="P998" s="6">
        <v>40661.015798611115</v>
      </c>
      <c r="Q998" s="16" t="s">
        <v>2246</v>
      </c>
      <c r="R998" s="17" t="s">
        <v>2247</v>
      </c>
      <c r="S998" s="12"/>
      <c r="T998" s="12"/>
      <c r="U998" s="10" t="str">
        <f>HYPERLINK("https://pbs.twimg.com/profile_images/1051485436210794496/wxF7GSqc.jpg","View")</f>
        <v>View</v>
      </c>
    </row>
    <row r="999" spans="1:21" ht="30.6">
      <c r="A999" s="6">
        <v>43420.504976851851</v>
      </c>
      <c r="B999" s="7" t="str">
        <f>HYPERLINK("https://twitter.com/AzoteCasta","@AzoteCasta")</f>
        <v>@AzoteCasta</v>
      </c>
      <c r="C999" s="8" t="s">
        <v>117</v>
      </c>
      <c r="D999" s="9" t="s">
        <v>3363</v>
      </c>
      <c r="E999" s="10" t="str">
        <f>HYPERLINK("https://twitter.com/AzoteCasta/status/1063387998631403523","1063387998631403523")</f>
        <v>1063387998631403523</v>
      </c>
      <c r="F999" s="12"/>
      <c r="G999" s="11" t="s">
        <v>3364</v>
      </c>
      <c r="H999" s="12"/>
      <c r="I999" s="13">
        <v>4</v>
      </c>
      <c r="J999" s="13">
        <v>3</v>
      </c>
      <c r="K999" s="14" t="str">
        <f>HYPERLINK("http://twitter.com/download/android","Twitter for Android")</f>
        <v>Twitter for Android</v>
      </c>
      <c r="L999" s="13">
        <v>3638</v>
      </c>
      <c r="M999" s="13">
        <v>2743</v>
      </c>
      <c r="N999" s="13">
        <v>63</v>
      </c>
      <c r="O999" s="15"/>
      <c r="P999" s="6">
        <v>41441.048819444448</v>
      </c>
      <c r="Q999" s="16" t="s">
        <v>66</v>
      </c>
      <c r="R999" s="17" t="s">
        <v>120</v>
      </c>
      <c r="S999" s="12"/>
      <c r="T999" s="12"/>
      <c r="U999" s="10" t="str">
        <f>HYPERLINK("https://pbs.twimg.com/profile_images/1037474236691042309/9t-T1AZv.jpg","View")</f>
        <v>View</v>
      </c>
    </row>
    <row r="1000" spans="1:21" ht="30.6">
      <c r="A1000" s="6">
        <v>43420.503518518519</v>
      </c>
      <c r="B1000" s="7" t="str">
        <f>HYPERLINK("https://twitter.com/Alternativa_VOX","@Alternativa_VOX")</f>
        <v>@Alternativa_VOX</v>
      </c>
      <c r="C1000" s="8" t="s">
        <v>977</v>
      </c>
      <c r="D1000" s="9" t="s">
        <v>3365</v>
      </c>
      <c r="E1000" s="10" t="str">
        <f>HYPERLINK("https://twitter.com/Alternativa_VOX/status/1063387472133013504","1063387472133013504")</f>
        <v>1063387472133013504</v>
      </c>
      <c r="F1000" s="12"/>
      <c r="G1000" s="11" t="s">
        <v>3366</v>
      </c>
      <c r="H1000" s="12"/>
      <c r="I1000" s="13">
        <v>137</v>
      </c>
      <c r="J1000" s="13">
        <v>249</v>
      </c>
      <c r="K1000" s="14" t="str">
        <f t="shared" ref="K1000:K1002" si="291">HYPERLINK("http://twitter.com/download/iphone","Twitter for iPhone")</f>
        <v>Twitter for iPhone</v>
      </c>
      <c r="L1000" s="13">
        <v>14295</v>
      </c>
      <c r="M1000" s="13">
        <v>2342</v>
      </c>
      <c r="N1000" s="13">
        <v>63</v>
      </c>
      <c r="O1000" s="15"/>
      <c r="P1000" s="6">
        <v>42414.677303240736</v>
      </c>
      <c r="Q1000" s="12"/>
      <c r="R1000" s="17" t="s">
        <v>981</v>
      </c>
      <c r="S1000" s="12"/>
      <c r="T1000" s="12"/>
      <c r="U1000" s="10" t="str">
        <f>HYPERLINK("https://pbs.twimg.com/profile_images/1054080233844936705/IYgqsUMs.jpg","View")</f>
        <v>View</v>
      </c>
    </row>
    <row r="1001" spans="1:21" ht="51">
      <c r="A1001" s="6">
        <v>43420.500775462962</v>
      </c>
      <c r="B1001" s="7" t="str">
        <f>HYPERLINK("https://twitter.com/rososcar","@rososcar")</f>
        <v>@rososcar</v>
      </c>
      <c r="C1001" s="8" t="s">
        <v>3367</v>
      </c>
      <c r="D1001" s="9" t="s">
        <v>3368</v>
      </c>
      <c r="E1001" s="10" t="str">
        <f>HYPERLINK("https://twitter.com/rososcar/status/1063386478741471233","1063386478741471233")</f>
        <v>1063386478741471233</v>
      </c>
      <c r="F1001" s="12"/>
      <c r="G1001" s="12"/>
      <c r="H1001" s="12"/>
      <c r="I1001" s="13">
        <v>0</v>
      </c>
      <c r="J1001" s="13">
        <v>2</v>
      </c>
      <c r="K1001" s="14" t="str">
        <f t="shared" si="291"/>
        <v>Twitter for iPhone</v>
      </c>
      <c r="L1001" s="13">
        <v>502</v>
      </c>
      <c r="M1001" s="13">
        <v>2101</v>
      </c>
      <c r="N1001" s="13">
        <v>5</v>
      </c>
      <c r="O1001" s="15"/>
      <c r="P1001" s="6">
        <v>40743.02548611111</v>
      </c>
      <c r="Q1001" s="16" t="s">
        <v>3369</v>
      </c>
      <c r="R1001" s="17" t="s">
        <v>3370</v>
      </c>
      <c r="S1001" s="12"/>
      <c r="T1001" s="12"/>
      <c r="U1001" s="10" t="str">
        <f>HYPERLINK("https://pbs.twimg.com/profile_images/1059731425145032709/pCDEeu7T.jpg","View")</f>
        <v>View</v>
      </c>
    </row>
    <row r="1002" spans="1:21" ht="51">
      <c r="A1002" s="6">
        <v>43420.495659722219</v>
      </c>
      <c r="B1002" s="7" t="str">
        <f>HYPERLINK("https://twitter.com/ElDoctorMabuse","@ElDoctorMabuse")</f>
        <v>@ElDoctorMabuse</v>
      </c>
      <c r="C1002" s="8" t="s">
        <v>1122</v>
      </c>
      <c r="D1002" s="9" t="s">
        <v>3372</v>
      </c>
      <c r="E1002" s="10" t="str">
        <f>HYPERLINK("https://twitter.com/ElDoctorMabuse/status/1063384623256870913","1063384623256870913")</f>
        <v>1063384623256870913</v>
      </c>
      <c r="F1002" s="11" t="s">
        <v>3373</v>
      </c>
      <c r="G1002" s="12"/>
      <c r="H1002" s="12"/>
      <c r="I1002" s="13">
        <v>0</v>
      </c>
      <c r="J1002" s="13">
        <v>0</v>
      </c>
      <c r="K1002" s="14" t="str">
        <f t="shared" si="291"/>
        <v>Twitter for iPhone</v>
      </c>
      <c r="L1002" s="13">
        <v>243</v>
      </c>
      <c r="M1002" s="13">
        <v>535</v>
      </c>
      <c r="N1002" s="13">
        <v>11</v>
      </c>
      <c r="O1002" s="15"/>
      <c r="P1002" s="6">
        <v>40273.293067129627</v>
      </c>
      <c r="Q1002" s="16" t="s">
        <v>1126</v>
      </c>
      <c r="R1002" s="17" t="s">
        <v>1127</v>
      </c>
      <c r="S1002" s="11" t="s">
        <v>1128</v>
      </c>
      <c r="T1002" s="12"/>
      <c r="U1002" s="10" t="str">
        <f>HYPERLINK("https://pbs.twimg.com/profile_images/442391428069879808/46XrmQAl.jpeg","View")</f>
        <v>View</v>
      </c>
    </row>
    <row r="1003" spans="1:21" ht="40.799999999999997">
      <c r="A1003" s="6">
        <v>43420.481585648144</v>
      </c>
      <c r="B1003" s="7" t="str">
        <f>HYPERLINK("https://twitter.com/PerdPerole07","@PerdPerole07")</f>
        <v>@PerdPerole07</v>
      </c>
      <c r="C1003" s="8" t="s">
        <v>524</v>
      </c>
      <c r="D1003" s="9" t="s">
        <v>3375</v>
      </c>
      <c r="E1003" s="10" t="str">
        <f>HYPERLINK("https://twitter.com/PerdPerole07/status/1063379523360706560","1063379523360706560")</f>
        <v>1063379523360706560</v>
      </c>
      <c r="F1003" s="12"/>
      <c r="G1003" s="12"/>
      <c r="H1003" s="12"/>
      <c r="I1003" s="13">
        <v>0</v>
      </c>
      <c r="J1003" s="13">
        <v>0</v>
      </c>
      <c r="K1003" s="14" t="str">
        <f t="shared" ref="K1003:K1007" si="292">HYPERLINK("http://twitter.com/download/android","Twitter for Android")</f>
        <v>Twitter for Android</v>
      </c>
      <c r="L1003" s="13">
        <v>9</v>
      </c>
      <c r="M1003" s="13">
        <v>23</v>
      </c>
      <c r="N1003" s="13">
        <v>0</v>
      </c>
      <c r="O1003" s="15"/>
      <c r="P1003" s="6">
        <v>43057.946412037039</v>
      </c>
      <c r="Q1003" s="16" t="s">
        <v>3378</v>
      </c>
      <c r="R1003" s="21"/>
      <c r="S1003" s="12"/>
      <c r="T1003" s="12"/>
      <c r="U1003" s="10" t="str">
        <f>HYPERLINK("https://pbs.twimg.com/profile_images/1027804892151390208/h4CCIerV.jpg","View")</f>
        <v>View</v>
      </c>
    </row>
    <row r="1004" spans="1:21" ht="51">
      <c r="A1004" s="6">
        <v>43420.480636574073</v>
      </c>
      <c r="B1004" s="7" t="str">
        <f>HYPERLINK("https://twitter.com/Manuelo85417482","@Manuelo85417482")</f>
        <v>@Manuelo85417482</v>
      </c>
      <c r="C1004" s="8" t="s">
        <v>3379</v>
      </c>
      <c r="D1004" s="9" t="s">
        <v>3380</v>
      </c>
      <c r="E1004" s="10" t="str">
        <f>HYPERLINK("https://twitter.com/Manuelo85417482/status/1063379180027547649","1063379180027547649")</f>
        <v>1063379180027547649</v>
      </c>
      <c r="F1004" s="12"/>
      <c r="G1004" s="12"/>
      <c r="H1004" s="12"/>
      <c r="I1004" s="13">
        <v>0</v>
      </c>
      <c r="J1004" s="13">
        <v>1</v>
      </c>
      <c r="K1004" s="14" t="str">
        <f t="shared" si="292"/>
        <v>Twitter for Android</v>
      </c>
      <c r="L1004" s="13">
        <v>221</v>
      </c>
      <c r="M1004" s="13">
        <v>359</v>
      </c>
      <c r="N1004" s="13">
        <v>0</v>
      </c>
      <c r="O1004" s="15"/>
      <c r="P1004" s="6">
        <v>43330.86173611111</v>
      </c>
      <c r="Q1004" s="16" t="s">
        <v>3381</v>
      </c>
      <c r="R1004" s="17" t="s">
        <v>3382</v>
      </c>
      <c r="S1004" s="12"/>
      <c r="T1004" s="12"/>
      <c r="U1004" s="10" t="str">
        <f>HYPERLINK("https://pbs.twimg.com/profile_images/1050146083081506817/EFC5GZdg.jpg","View")</f>
        <v>View</v>
      </c>
    </row>
    <row r="1005" spans="1:21" ht="30.6">
      <c r="A1005" s="6">
        <v>43420.480416666665</v>
      </c>
      <c r="B1005" s="7" t="str">
        <f>HYPERLINK("https://twitter.com/Valided_","@Valided_")</f>
        <v>@Valided_</v>
      </c>
      <c r="C1005" s="8" t="s">
        <v>3383</v>
      </c>
      <c r="D1005" s="9" t="s">
        <v>3384</v>
      </c>
      <c r="E1005" s="10" t="str">
        <f>HYPERLINK("https://twitter.com/Valided_/status/1063379098771341317","1063379098771341317")</f>
        <v>1063379098771341317</v>
      </c>
      <c r="F1005" s="12"/>
      <c r="G1005" s="12"/>
      <c r="H1005" s="12"/>
      <c r="I1005" s="13">
        <v>0</v>
      </c>
      <c r="J1005" s="13">
        <v>0</v>
      </c>
      <c r="K1005" s="14" t="str">
        <f t="shared" si="292"/>
        <v>Twitter for Android</v>
      </c>
      <c r="L1005" s="13">
        <v>4</v>
      </c>
      <c r="M1005" s="13">
        <v>19</v>
      </c>
      <c r="N1005" s="13">
        <v>0</v>
      </c>
      <c r="O1005" s="15"/>
      <c r="P1005" s="6">
        <v>42771.571689814809</v>
      </c>
      <c r="Q1005" s="12"/>
      <c r="R1005" s="17" t="s">
        <v>3385</v>
      </c>
      <c r="S1005" s="12"/>
      <c r="T1005" s="12"/>
      <c r="U1005" s="10" t="str">
        <f>HYPERLINK("https://pbs.twimg.com/profile_images/1032717743202689025/sUK0Fyf-.jpg","View")</f>
        <v>View</v>
      </c>
    </row>
    <row r="1006" spans="1:21" ht="51">
      <c r="A1006" s="6">
        <v>43420.479953703703</v>
      </c>
      <c r="B1006" s="7" t="str">
        <f>HYPERLINK("https://twitter.com/VOXSevilla","@VOXSevilla")</f>
        <v>@VOXSevilla</v>
      </c>
      <c r="C1006" s="8" t="s">
        <v>3101</v>
      </c>
      <c r="D1006" s="9" t="s">
        <v>3328</v>
      </c>
      <c r="E1006" s="10" t="str">
        <f>HYPERLINK("https://twitter.com/VOXSevilla/status/1063378930097430529","1063378930097430529")</f>
        <v>1063378930097430529</v>
      </c>
      <c r="F1006" s="12"/>
      <c r="G1006" s="11" t="s">
        <v>3332</v>
      </c>
      <c r="H1006" s="12"/>
      <c r="I1006" s="13">
        <v>49</v>
      </c>
      <c r="J1006" s="13">
        <v>78</v>
      </c>
      <c r="K1006" s="14" t="str">
        <f t="shared" si="292"/>
        <v>Twitter for Android</v>
      </c>
      <c r="L1006" s="13">
        <v>7726</v>
      </c>
      <c r="M1006" s="13">
        <v>1534</v>
      </c>
      <c r="N1006" s="13">
        <v>67</v>
      </c>
      <c r="O1006" s="15"/>
      <c r="P1006" s="6">
        <v>41691.750023148146</v>
      </c>
      <c r="Q1006" s="16" t="s">
        <v>3105</v>
      </c>
      <c r="R1006" s="17" t="s">
        <v>3106</v>
      </c>
      <c r="S1006" s="11" t="s">
        <v>3107</v>
      </c>
      <c r="T1006" s="12"/>
      <c r="U1006" s="10" t="str">
        <f>HYPERLINK("https://pbs.twimg.com/profile_images/984861064704774146/oJ_70XfQ.jpg","View")</f>
        <v>View</v>
      </c>
    </row>
    <row r="1007" spans="1:21" ht="61.2">
      <c r="A1007" s="6">
        <v>43420.475312499999</v>
      </c>
      <c r="B1007" s="7" t="str">
        <f>HYPERLINK("https://twitter.com/vox_es","@vox_es")</f>
        <v>@vox_es</v>
      </c>
      <c r="C1007" s="8" t="s">
        <v>689</v>
      </c>
      <c r="D1007" s="9" t="s">
        <v>3386</v>
      </c>
      <c r="E1007" s="10" t="str">
        <f>HYPERLINK("https://twitter.com/vox_es/status/1063377250421227520","1063377250421227520")</f>
        <v>1063377250421227520</v>
      </c>
      <c r="F1007" s="12"/>
      <c r="G1007" s="11" t="s">
        <v>3387</v>
      </c>
      <c r="H1007" s="12"/>
      <c r="I1007" s="13">
        <v>303</v>
      </c>
      <c r="J1007" s="13">
        <v>427</v>
      </c>
      <c r="K1007" s="14" t="str">
        <f t="shared" si="292"/>
        <v>Twitter for Android</v>
      </c>
      <c r="L1007" s="13">
        <v>122548</v>
      </c>
      <c r="M1007" s="13">
        <v>915</v>
      </c>
      <c r="N1007" s="13">
        <v>919</v>
      </c>
      <c r="O1007" s="23" t="s">
        <v>186</v>
      </c>
      <c r="P1007" s="6">
        <v>41596.746655092589</v>
      </c>
      <c r="Q1007" s="12"/>
      <c r="R1007" s="17" t="s">
        <v>694</v>
      </c>
      <c r="S1007" s="11" t="s">
        <v>187</v>
      </c>
      <c r="T1007" s="12"/>
      <c r="U1007" s="10" t="str">
        <f>HYPERLINK("https://pbs.twimg.com/profile_images/1016653788617363456/m3b3jqW5.jpg","View")</f>
        <v>View</v>
      </c>
    </row>
    <row r="1008" spans="1:21" ht="51">
      <c r="A1008" s="6">
        <v>43420.473125000004</v>
      </c>
      <c r="B1008" s="7" t="str">
        <f>HYPERLINK("https://twitter.com/LuiSSvlc88","@LuiSSvlc88")</f>
        <v>@LuiSSvlc88</v>
      </c>
      <c r="C1008" s="8" t="s">
        <v>3388</v>
      </c>
      <c r="D1008" s="9" t="s">
        <v>3389</v>
      </c>
      <c r="E1008" s="10" t="str">
        <f>HYPERLINK("https://twitter.com/LuiSSvlc88/status/1063376457815269377","1063376457815269377")</f>
        <v>1063376457815269377</v>
      </c>
      <c r="F1008" s="12"/>
      <c r="G1008" s="12"/>
      <c r="H1008" s="12"/>
      <c r="I1008" s="13">
        <v>0</v>
      </c>
      <c r="J1008" s="13">
        <v>0</v>
      </c>
      <c r="K1008" s="14" t="str">
        <f>HYPERLINK("http://twitter.com","Twitter Web Client")</f>
        <v>Twitter Web Client</v>
      </c>
      <c r="L1008" s="13">
        <v>107</v>
      </c>
      <c r="M1008" s="13">
        <v>368</v>
      </c>
      <c r="N1008" s="13">
        <v>0</v>
      </c>
      <c r="O1008" s="15"/>
      <c r="P1008" s="6">
        <v>41187.389525462961</v>
      </c>
      <c r="Q1008" s="12"/>
      <c r="R1008" s="17" t="s">
        <v>3390</v>
      </c>
      <c r="S1008" s="12"/>
      <c r="T1008" s="12"/>
      <c r="U1008" s="10" t="str">
        <f>HYPERLINK("https://pbs.twimg.com/profile_images/2682548907/2e01706d1e55ec9b8b2c4eda4d3b4c66.png","View")</f>
        <v>View</v>
      </c>
    </row>
    <row r="1009" spans="1:21" ht="40.799999999999997">
      <c r="A1009" s="6">
        <v>43420.472048611111</v>
      </c>
      <c r="B1009" s="7" t="str">
        <f>HYPERLINK("https://twitter.com/VOX_Guadalajara","@VOX_Guadalajara")</f>
        <v>@VOX_Guadalajara</v>
      </c>
      <c r="C1009" s="8" t="s">
        <v>1305</v>
      </c>
      <c r="D1009" s="9" t="s">
        <v>3391</v>
      </c>
      <c r="E1009" s="10" t="str">
        <f>HYPERLINK("https://twitter.com/VOX_Guadalajara/status/1063376066516008960","1063376066516008960")</f>
        <v>1063376066516008960</v>
      </c>
      <c r="F1009" s="11" t="s">
        <v>3392</v>
      </c>
      <c r="G1009" s="11" t="s">
        <v>3393</v>
      </c>
      <c r="H1009" s="12"/>
      <c r="I1009" s="13">
        <v>1</v>
      </c>
      <c r="J1009" s="13">
        <v>0</v>
      </c>
      <c r="K1009" s="14" t="str">
        <f>HYPERLINK("http://twitter.com/download/android","Twitter for Android")</f>
        <v>Twitter for Android</v>
      </c>
      <c r="L1009" s="13">
        <v>2564</v>
      </c>
      <c r="M1009" s="13">
        <v>2101</v>
      </c>
      <c r="N1009" s="13">
        <v>42</v>
      </c>
      <c r="O1009" s="15"/>
      <c r="P1009" s="6">
        <v>41707.002291666664</v>
      </c>
      <c r="Q1009" s="16" t="s">
        <v>1308</v>
      </c>
      <c r="R1009" s="17" t="s">
        <v>1309</v>
      </c>
      <c r="S1009" s="11" t="s">
        <v>1310</v>
      </c>
      <c r="T1009" s="12"/>
      <c r="U1009" s="10" t="str">
        <f>HYPERLINK("https://pbs.twimg.com/profile_images/592072772932730880/rNcgJTpv.jpg","View")</f>
        <v>View</v>
      </c>
    </row>
    <row r="1010" spans="1:21" ht="40.799999999999997">
      <c r="A1010" s="6">
        <v>43420.471539351856</v>
      </c>
      <c r="B1010" s="7" t="str">
        <f>HYPERLINK("https://twitter.com/Sr_RVazquez","@Sr_RVazquez")</f>
        <v>@Sr_RVazquez</v>
      </c>
      <c r="C1010" s="8" t="s">
        <v>3394</v>
      </c>
      <c r="D1010" s="9" t="s">
        <v>3395</v>
      </c>
      <c r="E1010" s="10" t="str">
        <f>HYPERLINK("https://twitter.com/Sr_RVazquez/status/1063375882075684865","1063375882075684865")</f>
        <v>1063375882075684865</v>
      </c>
      <c r="F1010" s="12"/>
      <c r="G1010" s="12"/>
      <c r="H1010" s="12"/>
      <c r="I1010" s="13">
        <v>0</v>
      </c>
      <c r="J1010" s="13">
        <v>0</v>
      </c>
      <c r="K1010" s="14" t="str">
        <f>HYPERLINK("http://twitter.com/download/iphone","Twitter for iPhone")</f>
        <v>Twitter for iPhone</v>
      </c>
      <c r="L1010" s="13">
        <v>918</v>
      </c>
      <c r="M1010" s="13">
        <v>1106</v>
      </c>
      <c r="N1010" s="13">
        <v>23</v>
      </c>
      <c r="O1010" s="15"/>
      <c r="P1010" s="6">
        <v>40604.952511574076</v>
      </c>
      <c r="Q1010" s="16" t="s">
        <v>3396</v>
      </c>
      <c r="R1010" s="17" t="s">
        <v>3397</v>
      </c>
      <c r="S1010" s="11" t="s">
        <v>3398</v>
      </c>
      <c r="T1010" s="12"/>
      <c r="U1010" s="10" t="str">
        <f>HYPERLINK("https://pbs.twimg.com/profile_images/1018981399469133826/RYE9XFxd.jpg","View")</f>
        <v>View</v>
      </c>
    </row>
    <row r="1011" spans="1:21" ht="51">
      <c r="A1011" s="6">
        <v>43420.469953703709</v>
      </c>
      <c r="B1011" s="7" t="str">
        <f>HYPERLINK("https://twitter.com/AteneaMurcia","@AteneaMurcia")</f>
        <v>@AteneaMurcia</v>
      </c>
      <c r="C1011" s="8" t="s">
        <v>3399</v>
      </c>
      <c r="D1011" s="9" t="s">
        <v>3400</v>
      </c>
      <c r="E1011" s="10" t="str">
        <f>HYPERLINK("https://twitter.com/AteneaMurcia/status/1063375305761570816","1063375305761570816")</f>
        <v>1063375305761570816</v>
      </c>
      <c r="F1011" s="12"/>
      <c r="G1011" s="12"/>
      <c r="H1011" s="12"/>
      <c r="I1011" s="13">
        <v>0</v>
      </c>
      <c r="J1011" s="13">
        <v>0</v>
      </c>
      <c r="K1011" s="14" t="str">
        <f t="shared" ref="K1011:K1013" si="293">HYPERLINK("http://twitter.com","Twitter Web Client")</f>
        <v>Twitter Web Client</v>
      </c>
      <c r="L1011" s="13">
        <v>29</v>
      </c>
      <c r="M1011" s="13">
        <v>138</v>
      </c>
      <c r="N1011" s="13">
        <v>0</v>
      </c>
      <c r="O1011" s="15"/>
      <c r="P1011" s="6">
        <v>43419.6799537037</v>
      </c>
      <c r="Q1011" s="16" t="s">
        <v>1152</v>
      </c>
      <c r="R1011" s="17" t="s">
        <v>3401</v>
      </c>
      <c r="S1011" s="12"/>
      <c r="T1011" s="12"/>
      <c r="U1011" s="10" t="str">
        <f>HYPERLINK("https://pbs.twimg.com/profile_images/1063089314815467520/Zvf1lybU.jpg","View")</f>
        <v>View</v>
      </c>
    </row>
    <row r="1012" spans="1:21" ht="51">
      <c r="A1012" s="6">
        <v>43420.468842592592</v>
      </c>
      <c r="B1012" s="7" t="str">
        <f>HYPERLINK("https://twitter.com/albertgabas","@albertgabas")</f>
        <v>@albertgabas</v>
      </c>
      <c r="C1012" s="8" t="s">
        <v>3402</v>
      </c>
      <c r="D1012" s="9" t="s">
        <v>3403</v>
      </c>
      <c r="E1012" s="10" t="str">
        <f>HYPERLINK("https://twitter.com/albertgabas/status/1063374902831575041","1063374902831575041")</f>
        <v>1063374902831575041</v>
      </c>
      <c r="F1012" s="11" t="s">
        <v>3404</v>
      </c>
      <c r="G1012" s="12"/>
      <c r="H1012" s="12"/>
      <c r="I1012" s="13">
        <v>0</v>
      </c>
      <c r="J1012" s="13">
        <v>0</v>
      </c>
      <c r="K1012" s="14" t="str">
        <f t="shared" si="293"/>
        <v>Twitter Web Client</v>
      </c>
      <c r="L1012" s="13">
        <v>17</v>
      </c>
      <c r="M1012" s="13">
        <v>20</v>
      </c>
      <c r="N1012" s="13">
        <v>0</v>
      </c>
      <c r="O1012" s="15"/>
      <c r="P1012" s="6">
        <v>40898.953900462962</v>
      </c>
      <c r="Q1012" s="12"/>
      <c r="R1012" s="21"/>
      <c r="S1012" s="11" t="s">
        <v>3405</v>
      </c>
      <c r="T1012" s="12"/>
      <c r="U1012" s="10" t="str">
        <f>HYPERLINK("https://pbs.twimg.com/profile_images/1028277855690665984/BeNzmsAJ.jpg","View")</f>
        <v>View</v>
      </c>
    </row>
    <row r="1013" spans="1:21" ht="40.799999999999997">
      <c r="A1013" s="6">
        <v>43420.468680555554</v>
      </c>
      <c r="B1013" s="7" t="str">
        <f>HYPERLINK("https://twitter.com/MiklosCseszneky","@MiklosCseszneky")</f>
        <v>@MiklosCseszneky</v>
      </c>
      <c r="C1013" s="8" t="s">
        <v>3406</v>
      </c>
      <c r="D1013" s="9" t="s">
        <v>3407</v>
      </c>
      <c r="E1013" s="10" t="str">
        <f>HYPERLINK("https://twitter.com/MiklosCseszneky/status/1063374846011289600","1063374846011289600")</f>
        <v>1063374846011289600</v>
      </c>
      <c r="F1013" s="16" t="s">
        <v>3408</v>
      </c>
      <c r="G1013" s="12"/>
      <c r="H1013" s="12"/>
      <c r="I1013" s="13">
        <v>7</v>
      </c>
      <c r="J1013" s="13">
        <v>12</v>
      </c>
      <c r="K1013" s="14" t="str">
        <f t="shared" si="293"/>
        <v>Twitter Web Client</v>
      </c>
      <c r="L1013" s="13">
        <v>10068</v>
      </c>
      <c r="M1013" s="13">
        <v>11051</v>
      </c>
      <c r="N1013" s="13">
        <v>55</v>
      </c>
      <c r="O1013" s="15"/>
      <c r="P1013" s="6">
        <v>42705.830763888887</v>
      </c>
      <c r="Q1013" s="12"/>
      <c r="R1013" s="17" t="s">
        <v>3409</v>
      </c>
      <c r="S1013" s="12"/>
      <c r="T1013" s="12"/>
      <c r="U1013" s="10" t="str">
        <f>HYPERLINK("https://pbs.twimg.com/profile_images/997821486529433600/tprwoHuh.jpg","View")</f>
        <v>View</v>
      </c>
    </row>
    <row r="1014" spans="1:21" ht="61.2">
      <c r="A1014" s="6">
        <v>43420.460474537038</v>
      </c>
      <c r="B1014" s="7" t="str">
        <f>HYPERLINK("https://twitter.com/psolidaridad","@psolidaridad")</f>
        <v>@psolidaridad</v>
      </c>
      <c r="C1014" s="8" t="s">
        <v>270</v>
      </c>
      <c r="D1014" s="9" t="s">
        <v>3410</v>
      </c>
      <c r="E1014" s="10" t="str">
        <f>HYPERLINK("https://twitter.com/psolidaridad/status/1063371874317598720","1063371874317598720")</f>
        <v>1063371874317598720</v>
      </c>
      <c r="F1014" s="11" t="s">
        <v>3411</v>
      </c>
      <c r="G1014" s="12"/>
      <c r="H1014" s="12"/>
      <c r="I1014" s="13">
        <v>1</v>
      </c>
      <c r="J1014" s="13">
        <v>0</v>
      </c>
      <c r="K1014" s="14" t="str">
        <f>HYPERLINK("http://twitter.com/download/android","Twitter for Android")</f>
        <v>Twitter for Android</v>
      </c>
      <c r="L1014" s="13">
        <v>1542</v>
      </c>
      <c r="M1014" s="13">
        <v>4648</v>
      </c>
      <c r="N1014" s="13">
        <v>1</v>
      </c>
      <c r="O1014" s="15"/>
      <c r="P1014" s="6">
        <v>41803.502372685187</v>
      </c>
      <c r="Q1014" s="12"/>
      <c r="R1014" s="17" t="s">
        <v>272</v>
      </c>
      <c r="S1014" s="12"/>
      <c r="T1014" s="12"/>
      <c r="U1014" s="10" t="str">
        <f>HYPERLINK("https://pbs.twimg.com/profile_images/1030394358397317120/oQ0F2vnz.jpg","View")</f>
        <v>View</v>
      </c>
    </row>
    <row r="1015" spans="1:21" ht="51">
      <c r="A1015" s="6">
        <v>43420.459722222222</v>
      </c>
      <c r="B1015" s="7" t="str">
        <f>HYPERLINK("https://twitter.com/bitMomentum","@bitMomentum")</f>
        <v>@bitMomentum</v>
      </c>
      <c r="C1015" s="8" t="s">
        <v>368</v>
      </c>
      <c r="D1015" s="9" t="s">
        <v>3412</v>
      </c>
      <c r="E1015" s="10" t="str">
        <f>HYPERLINK("https://twitter.com/bitMomentum/status/1063371598424616961","1063371598424616961")</f>
        <v>1063371598424616961</v>
      </c>
      <c r="F1015" s="12"/>
      <c r="G1015" s="12"/>
      <c r="H1015" s="12"/>
      <c r="I1015" s="13">
        <v>0</v>
      </c>
      <c r="J1015" s="13">
        <v>0</v>
      </c>
      <c r="K1015" s="14" t="str">
        <f>HYPERLINK("http://www.bitmomentum.com","bitMomentum Bot")</f>
        <v>bitMomentum Bot</v>
      </c>
      <c r="L1015" s="13">
        <v>10132</v>
      </c>
      <c r="M1015" s="13">
        <v>1060</v>
      </c>
      <c r="N1015" s="13">
        <v>267</v>
      </c>
      <c r="O1015" s="15"/>
      <c r="P1015" s="6">
        <v>41608.667511574073</v>
      </c>
      <c r="Q1015" s="12"/>
      <c r="R1015" s="17" t="s">
        <v>371</v>
      </c>
      <c r="S1015" s="11" t="s">
        <v>372</v>
      </c>
      <c r="T1015" s="12"/>
      <c r="U1015" s="10" t="str">
        <f>HYPERLINK("https://pbs.twimg.com/profile_images/378800000862185241/20ij2H3u.png","View")</f>
        <v>View</v>
      </c>
    </row>
    <row r="1016" spans="1:21" ht="51">
      <c r="A1016" s="6">
        <v>43420.455810185187</v>
      </c>
      <c r="B1016" s="7" t="str">
        <f>HYPERLINK("https://twitter.com/mabellogar","@mabellogar")</f>
        <v>@mabellogar</v>
      </c>
      <c r="C1016" s="8" t="s">
        <v>3413</v>
      </c>
      <c r="D1016" s="9" t="s">
        <v>3414</v>
      </c>
      <c r="E1016" s="10" t="str">
        <f>HYPERLINK("https://twitter.com/mabellogar/status/1063370182658265089","1063370182658265089")</f>
        <v>1063370182658265089</v>
      </c>
      <c r="F1016" s="11" t="s">
        <v>3415</v>
      </c>
      <c r="G1016" s="12"/>
      <c r="H1016" s="12"/>
      <c r="I1016" s="13">
        <v>169</v>
      </c>
      <c r="J1016" s="13">
        <v>158</v>
      </c>
      <c r="K1016" s="14" t="str">
        <f t="shared" ref="K1016:K1020" si="294">HYPERLINK("http://twitter.com/download/android","Twitter for Android")</f>
        <v>Twitter for Android</v>
      </c>
      <c r="L1016" s="13">
        <v>1643</v>
      </c>
      <c r="M1016" s="13">
        <v>1691</v>
      </c>
      <c r="N1016" s="13">
        <v>40</v>
      </c>
      <c r="O1016" s="15"/>
      <c r="P1016" s="6">
        <v>42420.950428240743</v>
      </c>
      <c r="Q1016" s="16" t="s">
        <v>44</v>
      </c>
      <c r="R1016" s="17" t="s">
        <v>3418</v>
      </c>
      <c r="S1016" s="12"/>
      <c r="T1016" s="12"/>
      <c r="U1016" s="10" t="str">
        <f>HYPERLINK("https://pbs.twimg.com/profile_images/1053598701711699968/RjkgmNP4.jpg","View")</f>
        <v>View</v>
      </c>
    </row>
    <row r="1017" spans="1:21" ht="40.799999999999997">
      <c r="A1017" s="6">
        <v>43420.454583333332</v>
      </c>
      <c r="B1017" s="7" t="str">
        <f>HYPERLINK("https://twitter.com/Jolu1970Jose","@Jolu1970Jose")</f>
        <v>@Jolu1970Jose</v>
      </c>
      <c r="C1017" s="8" t="s">
        <v>168</v>
      </c>
      <c r="D1017" s="9" t="s">
        <v>3419</v>
      </c>
      <c r="E1017" s="10" t="str">
        <f>HYPERLINK("https://twitter.com/Jolu1970Jose/status/1063369736963145729","1063369736963145729")</f>
        <v>1063369736963145729</v>
      </c>
      <c r="F1017" s="11" t="s">
        <v>3420</v>
      </c>
      <c r="G1017" s="12"/>
      <c r="H1017" s="12"/>
      <c r="I1017" s="13">
        <v>0</v>
      </c>
      <c r="J1017" s="13">
        <v>1</v>
      </c>
      <c r="K1017" s="14" t="str">
        <f t="shared" si="294"/>
        <v>Twitter for Android</v>
      </c>
      <c r="L1017" s="13">
        <v>2345</v>
      </c>
      <c r="M1017" s="13">
        <v>2493</v>
      </c>
      <c r="N1017" s="13">
        <v>22</v>
      </c>
      <c r="O1017" s="15"/>
      <c r="P1017" s="6">
        <v>40681.964178240742</v>
      </c>
      <c r="Q1017" s="12"/>
      <c r="R1017" s="17" t="s">
        <v>171</v>
      </c>
      <c r="S1017" s="12"/>
      <c r="T1017" s="12"/>
      <c r="U1017" s="10" t="str">
        <f>HYPERLINK("https://pbs.twimg.com/profile_images/997194518444175360/dnaJJ08L.jpg","View")</f>
        <v>View</v>
      </c>
    </row>
    <row r="1018" spans="1:21" ht="71.400000000000006">
      <c r="A1018" s="6">
        <v>43420.450381944444</v>
      </c>
      <c r="B1018" s="7" t="str">
        <f>HYPERLINK("https://twitter.com/Jvsmf","@Jvsmf")</f>
        <v>@Jvsmf</v>
      </c>
      <c r="C1018" s="8" t="s">
        <v>3421</v>
      </c>
      <c r="D1018" s="9" t="s">
        <v>3422</v>
      </c>
      <c r="E1018" s="10" t="str">
        <f>HYPERLINK("https://twitter.com/Jvsmf/status/1063368213352861696","1063368213352861696")</f>
        <v>1063368213352861696</v>
      </c>
      <c r="F1018" s="16" t="s">
        <v>3423</v>
      </c>
      <c r="G1018" s="12"/>
      <c r="H1018" s="12"/>
      <c r="I1018" s="13">
        <v>65</v>
      </c>
      <c r="J1018" s="13">
        <v>146</v>
      </c>
      <c r="K1018" s="14" t="str">
        <f t="shared" si="294"/>
        <v>Twitter for Android</v>
      </c>
      <c r="L1018" s="13">
        <v>9</v>
      </c>
      <c r="M1018" s="13">
        <v>8</v>
      </c>
      <c r="N1018" s="13">
        <v>1</v>
      </c>
      <c r="O1018" s="15"/>
      <c r="P1018" s="6">
        <v>41178.924201388887</v>
      </c>
      <c r="Q1018" s="12"/>
      <c r="R1018" s="17" t="s">
        <v>3424</v>
      </c>
      <c r="S1018" s="12"/>
      <c r="T1018" s="12"/>
      <c r="U1018" s="10" t="str">
        <f>HYPERLINK("https://pbs.twimg.com/profile_images/633238981023559680/cjJOW-NH.jpg","View")</f>
        <v>View</v>
      </c>
    </row>
    <row r="1019" spans="1:21" ht="30.6">
      <c r="A1019" s="6">
        <v>43420.449421296296</v>
      </c>
      <c r="B1019" s="7" t="str">
        <f>HYPERLINK("https://twitter.com/DeMeison","@DeMeison")</f>
        <v>@DeMeison</v>
      </c>
      <c r="C1019" s="8" t="s">
        <v>1435</v>
      </c>
      <c r="D1019" s="9" t="s">
        <v>4171</v>
      </c>
      <c r="E1019" s="10" t="str">
        <f>HYPERLINK("https://twitter.com/DeMeison/status/1063367868161695744","1063367868161695744")</f>
        <v>1063367868161695744</v>
      </c>
      <c r="F1019" s="12"/>
      <c r="G1019" s="11" t="s">
        <v>4172</v>
      </c>
      <c r="H1019" s="12"/>
      <c r="I1019" s="13">
        <v>15</v>
      </c>
      <c r="J1019" s="13">
        <v>39</v>
      </c>
      <c r="K1019" s="14" t="str">
        <f t="shared" si="294"/>
        <v>Twitter for Android</v>
      </c>
      <c r="L1019" s="13">
        <v>1567</v>
      </c>
      <c r="M1019" s="13">
        <v>1236</v>
      </c>
      <c r="N1019" s="13">
        <v>24</v>
      </c>
      <c r="O1019" s="15"/>
      <c r="P1019" s="6">
        <v>40711.818657407406</v>
      </c>
      <c r="Q1019" s="16" t="s">
        <v>1439</v>
      </c>
      <c r="R1019" s="17" t="s">
        <v>1440</v>
      </c>
      <c r="S1019" s="12"/>
      <c r="T1019" s="12"/>
      <c r="U1019" s="10" t="str">
        <f>HYPERLINK("https://pbs.twimg.com/profile_images/924658553121640448/v126-zQr.jpg","View")</f>
        <v>View</v>
      </c>
    </row>
    <row r="1020" spans="1:21" ht="40.799999999999997">
      <c r="A1020" s="6">
        <v>43420.448101851856</v>
      </c>
      <c r="B1020" s="7" t="str">
        <f>HYPERLINK("https://twitter.com/pepitongrillon","@pepitongrillon")</f>
        <v>@pepitongrillon</v>
      </c>
      <c r="C1020" s="8" t="s">
        <v>3425</v>
      </c>
      <c r="D1020" s="9" t="s">
        <v>3426</v>
      </c>
      <c r="E1020" s="10" t="str">
        <f>HYPERLINK("https://twitter.com/pepitongrillon/status/1063367389172170753","1063367389172170753")</f>
        <v>1063367389172170753</v>
      </c>
      <c r="F1020" s="11" t="s">
        <v>3427</v>
      </c>
      <c r="G1020" s="12"/>
      <c r="H1020" s="12"/>
      <c r="I1020" s="13">
        <v>47</v>
      </c>
      <c r="J1020" s="13">
        <v>43</v>
      </c>
      <c r="K1020" s="14" t="str">
        <f t="shared" si="294"/>
        <v>Twitter for Android</v>
      </c>
      <c r="L1020" s="13">
        <v>947</v>
      </c>
      <c r="M1020" s="13">
        <v>854</v>
      </c>
      <c r="N1020" s="13">
        <v>2</v>
      </c>
      <c r="O1020" s="15"/>
      <c r="P1020" s="6">
        <v>43211.380381944444</v>
      </c>
      <c r="Q1020" s="16" t="s">
        <v>3428</v>
      </c>
      <c r="R1020" s="17" t="s">
        <v>3429</v>
      </c>
      <c r="S1020" s="12"/>
      <c r="T1020" s="12"/>
      <c r="U1020" s="10" t="str">
        <f>HYPERLINK("https://pbs.twimg.com/profile_images/1010212097660157955/uutC5HgS.jpg","View")</f>
        <v>View</v>
      </c>
    </row>
    <row r="1021" spans="1:21" ht="40.799999999999997">
      <c r="A1021" s="6">
        <v>43420.443101851852</v>
      </c>
      <c r="B1021" s="7" t="str">
        <f>HYPERLINK("https://twitter.com/FSerranoCastro","@FSerranoCastro")</f>
        <v>@FSerranoCastro</v>
      </c>
      <c r="C1021" s="8" t="s">
        <v>3790</v>
      </c>
      <c r="D1021" s="9" t="s">
        <v>4177</v>
      </c>
      <c r="E1021" s="10" t="str">
        <f>HYPERLINK("https://twitter.com/FSerranoCastro/status/1063365577954287621","1063365577954287621")</f>
        <v>1063365577954287621</v>
      </c>
      <c r="F1021" s="12"/>
      <c r="G1021" s="11" t="s">
        <v>3393</v>
      </c>
      <c r="H1021" s="12"/>
      <c r="I1021" s="13">
        <v>48</v>
      </c>
      <c r="J1021" s="13">
        <v>97</v>
      </c>
      <c r="K1021" s="14" t="str">
        <f>HYPERLINK("http://twitter.com/download/iphone","Twitter for iPhone")</f>
        <v>Twitter for iPhone</v>
      </c>
      <c r="L1021" s="13">
        <v>10413</v>
      </c>
      <c r="M1021" s="13">
        <v>2576</v>
      </c>
      <c r="N1021" s="13">
        <v>104</v>
      </c>
      <c r="O1021" s="15"/>
      <c r="P1021" s="6">
        <v>41368.572291666671</v>
      </c>
      <c r="Q1021" s="16" t="s">
        <v>1483</v>
      </c>
      <c r="R1021" s="17" t="s">
        <v>3794</v>
      </c>
      <c r="S1021" s="12"/>
      <c r="T1021" s="12"/>
      <c r="U1021" s="10" t="str">
        <f>HYPERLINK("https://pbs.twimg.com/profile_images/1061962485996118016/dvXqGQjc.jpg","View")</f>
        <v>View</v>
      </c>
    </row>
    <row r="1022" spans="1:21" ht="61.2">
      <c r="A1022" s="6">
        <v>43420.438425925924</v>
      </c>
      <c r="B1022" s="7" t="str">
        <f>HYPERLINK("https://twitter.com/voxnoticias_es","@voxnoticias_es")</f>
        <v>@voxnoticias_es</v>
      </c>
      <c r="C1022" s="8" t="s">
        <v>234</v>
      </c>
      <c r="D1022" s="9" t="s">
        <v>3430</v>
      </c>
      <c r="E1022" s="10" t="str">
        <f>HYPERLINK("https://twitter.com/voxnoticias_es/status/1063363882490753024","1063363882490753024")</f>
        <v>1063363882490753024</v>
      </c>
      <c r="F1022" s="12"/>
      <c r="G1022" s="11" t="s">
        <v>3431</v>
      </c>
      <c r="H1022" s="12"/>
      <c r="I1022" s="13">
        <v>135</v>
      </c>
      <c r="J1022" s="13">
        <v>172</v>
      </c>
      <c r="K1022" s="14" t="str">
        <f>HYPERLINK("http://twitter.com/download/android","Twitter for Android")</f>
        <v>Twitter for Android</v>
      </c>
      <c r="L1022" s="13">
        <v>19279</v>
      </c>
      <c r="M1022" s="13">
        <v>2124</v>
      </c>
      <c r="N1022" s="13">
        <v>136</v>
      </c>
      <c r="O1022" s="15"/>
      <c r="P1022" s="6">
        <v>41687.875428240739</v>
      </c>
      <c r="Q1022" s="16" t="s">
        <v>238</v>
      </c>
      <c r="R1022" s="17" t="s">
        <v>239</v>
      </c>
      <c r="S1022" s="11" t="s">
        <v>240</v>
      </c>
      <c r="T1022" s="12"/>
      <c r="U1022" s="10" t="str">
        <f>HYPERLINK("https://pbs.twimg.com/profile_images/900432165195980801/-2-6PzuU.jpg","View")</f>
        <v>View</v>
      </c>
    </row>
    <row r="1023" spans="1:21" ht="40.799999999999997">
      <c r="A1023" s="6">
        <v>43420.433738425927</v>
      </c>
      <c r="B1023" s="7" t="str">
        <f>HYPERLINK("https://twitter.com/JuanjoAizcorbe","@JuanjoAizcorbe")</f>
        <v>@JuanjoAizcorbe</v>
      </c>
      <c r="C1023" s="8" t="s">
        <v>853</v>
      </c>
      <c r="D1023" s="9" t="s">
        <v>3432</v>
      </c>
      <c r="E1023" s="10" t="str">
        <f>HYPERLINK("https://twitter.com/JuanjoAizcorbe/status/1063362183508226048","1063362183508226048")</f>
        <v>1063362183508226048</v>
      </c>
      <c r="F1023" s="11" t="s">
        <v>3316</v>
      </c>
      <c r="G1023" s="12"/>
      <c r="H1023" s="12"/>
      <c r="I1023" s="13">
        <v>7</v>
      </c>
      <c r="J1023" s="13">
        <v>13</v>
      </c>
      <c r="K1023" s="14" t="str">
        <f>HYPERLINK("http://twitter.com/download/iphone","Twitter for iPhone")</f>
        <v>Twitter for iPhone</v>
      </c>
      <c r="L1023" s="13">
        <v>335</v>
      </c>
      <c r="M1023" s="13">
        <v>170</v>
      </c>
      <c r="N1023" s="13">
        <v>6</v>
      </c>
      <c r="O1023" s="15"/>
      <c r="P1023" s="6">
        <v>41927.764456018514</v>
      </c>
      <c r="Q1023" s="16" t="s">
        <v>66</v>
      </c>
      <c r="R1023" s="17" t="s">
        <v>856</v>
      </c>
      <c r="S1023" s="11" t="s">
        <v>857</v>
      </c>
      <c r="T1023" s="12"/>
      <c r="U1023" s="10" t="str">
        <f>HYPERLINK("https://pbs.twimg.com/profile_images/1027853784096096256/3PILgGu7.jpg","View")</f>
        <v>View</v>
      </c>
    </row>
    <row r="1024" spans="1:21" ht="40.799999999999997">
      <c r="A1024" s="6">
        <v>43420.43350694445</v>
      </c>
      <c r="B1024" s="7" t="str">
        <f>HYPERLINK("https://twitter.com/fermont1965","@fermont1965")</f>
        <v>@fermont1965</v>
      </c>
      <c r="C1024" s="8" t="s">
        <v>3895</v>
      </c>
      <c r="D1024" s="9" t="s">
        <v>4192</v>
      </c>
      <c r="E1024" s="10" t="str">
        <f>HYPERLINK("https://twitter.com/fermont1965/status/1063362100729389056","1063362100729389056")</f>
        <v>1063362100729389056</v>
      </c>
      <c r="F1024" s="12"/>
      <c r="G1024" s="12"/>
      <c r="H1024" s="12"/>
      <c r="I1024" s="13">
        <v>13</v>
      </c>
      <c r="J1024" s="13">
        <v>21</v>
      </c>
      <c r="K1024" s="14" t="str">
        <f>HYPERLINK("http://twitter.com","Twitter Web Client")</f>
        <v>Twitter Web Client</v>
      </c>
      <c r="L1024" s="13">
        <v>35300</v>
      </c>
      <c r="M1024" s="13">
        <v>9087</v>
      </c>
      <c r="N1024" s="13">
        <v>301</v>
      </c>
      <c r="O1024" s="15"/>
      <c r="P1024" s="6">
        <v>40608.760115740741</v>
      </c>
      <c r="Q1024" s="16" t="s">
        <v>3896</v>
      </c>
      <c r="R1024" s="17" t="s">
        <v>3897</v>
      </c>
      <c r="S1024" s="12"/>
      <c r="T1024" s="12"/>
      <c r="U1024" s="10" t="str">
        <f>HYPERLINK("https://pbs.twimg.com/profile_images/617818600326438912/_o-dirdy.jpg","View")</f>
        <v>View</v>
      </c>
    </row>
    <row r="1025" spans="1:21" ht="20.399999999999999">
      <c r="A1025" s="6">
        <v>43420.426932870367</v>
      </c>
      <c r="B1025" s="7" t="str">
        <f>HYPERLINK("https://twitter.com/LaurenArenos","@LaurenArenos")</f>
        <v>@LaurenArenos</v>
      </c>
      <c r="C1025" s="8" t="s">
        <v>4030</v>
      </c>
      <c r="D1025" s="9" t="s">
        <v>4195</v>
      </c>
      <c r="E1025" s="10" t="str">
        <f>HYPERLINK("https://twitter.com/LaurenArenos/status/1063359717332971520","1063359717332971520")</f>
        <v>1063359717332971520</v>
      </c>
      <c r="F1025" s="11" t="s">
        <v>2433</v>
      </c>
      <c r="G1025" s="12"/>
      <c r="H1025" s="12"/>
      <c r="I1025" s="13">
        <v>1</v>
      </c>
      <c r="J1025" s="13">
        <v>1</v>
      </c>
      <c r="K1025" s="14" t="str">
        <f>HYPERLINK("http://twitter.com/download/android","Twitter for Android")</f>
        <v>Twitter for Android</v>
      </c>
      <c r="L1025" s="13">
        <v>844</v>
      </c>
      <c r="M1025" s="13">
        <v>1206</v>
      </c>
      <c r="N1025" s="13">
        <v>0</v>
      </c>
      <c r="O1025" s="15"/>
      <c r="P1025" s="6">
        <v>43268.977326388893</v>
      </c>
      <c r="Q1025" s="12"/>
      <c r="R1025" s="17" t="s">
        <v>4033</v>
      </c>
      <c r="S1025" s="12"/>
      <c r="T1025" s="12"/>
      <c r="U1025" s="10" t="str">
        <f>HYPERLINK("https://pbs.twimg.com/profile_images/1008462268663828480/RBvgbkmL.jpg","View")</f>
        <v>View</v>
      </c>
    </row>
    <row r="1026" spans="1:21" ht="40.799999999999997">
      <c r="A1026" s="6">
        <v>43420.425208333334</v>
      </c>
      <c r="B1026" s="7" t="str">
        <f>HYPERLINK("https://twitter.com/EstadoDeSitio_","@EstadoDeSitio_")</f>
        <v>@EstadoDeSitio_</v>
      </c>
      <c r="C1026" s="8" t="s">
        <v>436</v>
      </c>
      <c r="D1026" s="9" t="s">
        <v>3433</v>
      </c>
      <c r="E1026" s="10" t="str">
        <f>HYPERLINK("https://twitter.com/EstadoDeSitio_/status/1063359094055215104","1063359094055215104")</f>
        <v>1063359094055215104</v>
      </c>
      <c r="F1026" s="12"/>
      <c r="G1026" s="11" t="s">
        <v>3434</v>
      </c>
      <c r="H1026" s="12"/>
      <c r="I1026" s="13">
        <v>0</v>
      </c>
      <c r="J1026" s="13">
        <v>0</v>
      </c>
      <c r="K1026" s="14" t="str">
        <f>HYPERLINK("https://ifttt.com","IFTTT")</f>
        <v>IFTTT</v>
      </c>
      <c r="L1026" s="13">
        <v>3046</v>
      </c>
      <c r="M1026" s="13">
        <v>3070</v>
      </c>
      <c r="N1026" s="13">
        <v>5</v>
      </c>
      <c r="O1026" s="15"/>
      <c r="P1026" s="6">
        <v>43025.072835648149</v>
      </c>
      <c r="Q1026" s="16" t="s">
        <v>437</v>
      </c>
      <c r="R1026" s="17" t="s">
        <v>438</v>
      </c>
      <c r="S1026" s="12"/>
      <c r="T1026" s="12"/>
      <c r="U1026" s="10" t="str">
        <f>HYPERLINK("https://pbs.twimg.com/profile_images/920076409808261121/GMzYHJhU.jpg","View")</f>
        <v>View</v>
      </c>
    </row>
    <row r="1027" spans="1:21" ht="51">
      <c r="A1027" s="6">
        <v>43420.419814814813</v>
      </c>
      <c r="B1027" s="7" t="str">
        <f>HYPERLINK("https://twitter.com/Alberto47492001","@Alberto47492001")</f>
        <v>@Alberto47492001</v>
      </c>
      <c r="C1027" s="8" t="s">
        <v>3439</v>
      </c>
      <c r="D1027" s="9" t="s">
        <v>3440</v>
      </c>
      <c r="E1027" s="10" t="str">
        <f>HYPERLINK("https://twitter.com/Alberto47492001/status/1063357137101959168","1063357137101959168")</f>
        <v>1063357137101959168</v>
      </c>
      <c r="F1027" s="12"/>
      <c r="G1027" s="12"/>
      <c r="H1027" s="12"/>
      <c r="I1027" s="13">
        <v>0</v>
      </c>
      <c r="J1027" s="13">
        <v>0</v>
      </c>
      <c r="K1027" s="14" t="str">
        <f>HYPERLINK("http://twitter.com/download/android","Twitter for Android")</f>
        <v>Twitter for Android</v>
      </c>
      <c r="L1027" s="13">
        <v>77</v>
      </c>
      <c r="M1027" s="13">
        <v>213</v>
      </c>
      <c r="N1027" s="13">
        <v>0</v>
      </c>
      <c r="O1027" s="15"/>
      <c r="P1027" s="6">
        <v>43379.628009259264</v>
      </c>
      <c r="Q1027" s="12"/>
      <c r="R1027" s="21"/>
      <c r="S1027" s="12"/>
      <c r="T1027" s="12"/>
      <c r="U1027" s="10" t="str">
        <f>HYPERLINK("https://pbs.twimg.com/profile_images/1058979927159123968/lfr-BF7z.jpg","View")</f>
        <v>View</v>
      </c>
    </row>
    <row r="1028" spans="1:21" ht="51">
      <c r="A1028" s="6">
        <v>43420.41805555555</v>
      </c>
      <c r="B1028" s="7" t="str">
        <f>HYPERLINK("https://twitter.com/bitMomentum","@bitMomentum")</f>
        <v>@bitMomentum</v>
      </c>
      <c r="C1028" s="8" t="s">
        <v>368</v>
      </c>
      <c r="D1028" s="9" t="s">
        <v>3441</v>
      </c>
      <c r="E1028" s="10" t="str">
        <f>HYPERLINK("https://twitter.com/bitMomentum/status/1063356498720509952","1063356498720509952")</f>
        <v>1063356498720509952</v>
      </c>
      <c r="F1028" s="12"/>
      <c r="G1028" s="12"/>
      <c r="H1028" s="12"/>
      <c r="I1028" s="13">
        <v>0</v>
      </c>
      <c r="J1028" s="13">
        <v>1</v>
      </c>
      <c r="K1028" s="14" t="str">
        <f>HYPERLINK("http://www.bitmomentum.com","bitMomentum Bot")</f>
        <v>bitMomentum Bot</v>
      </c>
      <c r="L1028" s="13">
        <v>10132</v>
      </c>
      <c r="M1028" s="13">
        <v>1060</v>
      </c>
      <c r="N1028" s="13">
        <v>267</v>
      </c>
      <c r="O1028" s="15"/>
      <c r="P1028" s="6">
        <v>41608.667511574073</v>
      </c>
      <c r="Q1028" s="12"/>
      <c r="R1028" s="17" t="s">
        <v>371</v>
      </c>
      <c r="S1028" s="11" t="s">
        <v>372</v>
      </c>
      <c r="T1028" s="12"/>
      <c r="U1028" s="10" t="str">
        <f>HYPERLINK("https://pbs.twimg.com/profile_images/378800000862185241/20ij2H3u.png","View")</f>
        <v>View</v>
      </c>
    </row>
    <row r="1029" spans="1:21" ht="40.799999999999997">
      <c r="A1029" s="6">
        <v>43420.414594907408</v>
      </c>
      <c r="B1029" s="7" t="str">
        <f>HYPERLINK("https://twitter.com/conelmazo_dando","@conelmazo_dando")</f>
        <v>@conelmazo_dando</v>
      </c>
      <c r="C1029" s="8" t="s">
        <v>3442</v>
      </c>
      <c r="D1029" s="9" t="s">
        <v>3443</v>
      </c>
      <c r="E1029" s="10" t="str">
        <f>HYPERLINK("https://twitter.com/conelmazo_dando/status/1063355246204911618","1063355246204911618")</f>
        <v>1063355246204911618</v>
      </c>
      <c r="F1029" s="12"/>
      <c r="G1029" s="12"/>
      <c r="H1029" s="12"/>
      <c r="I1029" s="13">
        <v>0</v>
      </c>
      <c r="J1029" s="13">
        <v>1</v>
      </c>
      <c r="K1029" s="14" t="str">
        <f t="shared" ref="K1029:K1030" si="295">HYPERLINK("http://twitter.com/download/android","Twitter for Android")</f>
        <v>Twitter for Android</v>
      </c>
      <c r="L1029" s="13">
        <v>8610</v>
      </c>
      <c r="M1029" s="13">
        <v>4203</v>
      </c>
      <c r="N1029" s="13">
        <v>98</v>
      </c>
      <c r="O1029" s="15"/>
      <c r="P1029" s="6">
        <v>41183.361620370371</v>
      </c>
      <c r="Q1029" s="12"/>
      <c r="R1029" s="17" t="s">
        <v>3444</v>
      </c>
      <c r="S1029" s="11" t="s">
        <v>3445</v>
      </c>
      <c r="T1029" s="12"/>
      <c r="U1029" s="10" t="str">
        <f>HYPERLINK("https://pbs.twimg.com/profile_images/953370765386289152/b1UBatx8.jpg","View")</f>
        <v>View</v>
      </c>
    </row>
    <row r="1030" spans="1:21" ht="30.6">
      <c r="A1030" s="6">
        <v>43420.411203703705</v>
      </c>
      <c r="B1030" s="7" t="str">
        <f>HYPERLINK("https://twitter.com/pacoluisj","@pacoluisj")</f>
        <v>@pacoluisj</v>
      </c>
      <c r="C1030" s="8" t="s">
        <v>4211</v>
      </c>
      <c r="D1030" s="9" t="s">
        <v>3908</v>
      </c>
      <c r="E1030" s="10" t="str">
        <f>HYPERLINK("https://twitter.com/pacoluisj/status/1063354015403188225","1063354015403188225")</f>
        <v>1063354015403188225</v>
      </c>
      <c r="F1030" s="11" t="s">
        <v>2433</v>
      </c>
      <c r="G1030" s="12"/>
      <c r="H1030" s="12"/>
      <c r="I1030" s="13">
        <v>1</v>
      </c>
      <c r="J1030" s="13">
        <v>1</v>
      </c>
      <c r="K1030" s="14" t="str">
        <f t="shared" si="295"/>
        <v>Twitter for Android</v>
      </c>
      <c r="L1030" s="13">
        <v>5127</v>
      </c>
      <c r="M1030" s="13">
        <v>5147</v>
      </c>
      <c r="N1030" s="13">
        <v>33</v>
      </c>
      <c r="O1030" s="15"/>
      <c r="P1030" s="6">
        <v>40259.792893518519</v>
      </c>
      <c r="Q1030" s="16" t="s">
        <v>66</v>
      </c>
      <c r="R1030" s="17" t="s">
        <v>4213</v>
      </c>
      <c r="S1030" s="12"/>
      <c r="T1030" s="12"/>
      <c r="U1030" s="10" t="str">
        <f>HYPERLINK("https://pbs.twimg.com/profile_images/978195787904634880/xKXdKqVW.jpg","View")</f>
        <v>View</v>
      </c>
    </row>
    <row r="1031" spans="1:21" ht="40.799999999999997">
      <c r="A1031" s="6">
        <v>43420.407060185185</v>
      </c>
      <c r="B1031" s="7" t="str">
        <f>HYPERLINK("https://twitter.com/GabrielArizaIV","@GabrielArizaIV")</f>
        <v>@GabrielArizaIV</v>
      </c>
      <c r="C1031" s="8" t="s">
        <v>3446</v>
      </c>
      <c r="D1031" s="9" t="s">
        <v>3447</v>
      </c>
      <c r="E1031" s="10" t="str">
        <f>HYPERLINK("https://twitter.com/GabrielArizaIV/status/1063352516946116609","1063352516946116609")</f>
        <v>1063352516946116609</v>
      </c>
      <c r="F1031" s="11" t="s">
        <v>3448</v>
      </c>
      <c r="G1031" s="12"/>
      <c r="H1031" s="12"/>
      <c r="I1031" s="13">
        <v>0</v>
      </c>
      <c r="J1031" s="13">
        <v>2</v>
      </c>
      <c r="K1031" s="14" t="str">
        <f>HYPERLINK("http://twitter.com","Twitter Web Client")</f>
        <v>Twitter Web Client</v>
      </c>
      <c r="L1031" s="13">
        <v>915</v>
      </c>
      <c r="M1031" s="13">
        <v>742</v>
      </c>
      <c r="N1031" s="13">
        <v>22</v>
      </c>
      <c r="O1031" s="15"/>
      <c r="P1031" s="6">
        <v>40248.464594907404</v>
      </c>
      <c r="Q1031" s="16" t="s">
        <v>644</v>
      </c>
      <c r="R1031" s="17" t="s">
        <v>3449</v>
      </c>
      <c r="S1031" s="11" t="s">
        <v>3450</v>
      </c>
      <c r="T1031" s="12"/>
      <c r="U1031" s="10" t="str">
        <f>HYPERLINK("https://pbs.twimg.com/profile_images/994595356670414853/HpzRcaxa.jpg","View")</f>
        <v>View</v>
      </c>
    </row>
    <row r="1032" spans="1:21" ht="40.799999999999997">
      <c r="A1032" s="6">
        <v>43420.403993055559</v>
      </c>
      <c r="B1032" s="7" t="str">
        <f>HYPERLINK("https://twitter.com/DavidParejo97","@DavidParejo97")</f>
        <v>@DavidParejo97</v>
      </c>
      <c r="C1032" s="8" t="s">
        <v>2323</v>
      </c>
      <c r="D1032" s="9" t="s">
        <v>3451</v>
      </c>
      <c r="E1032" s="10" t="str">
        <f>HYPERLINK("https://twitter.com/DavidParejo97/status/1063351405577232384","1063351405577232384")</f>
        <v>1063351405577232384</v>
      </c>
      <c r="F1032" s="12"/>
      <c r="G1032" s="12"/>
      <c r="H1032" s="12"/>
      <c r="I1032" s="13">
        <v>1</v>
      </c>
      <c r="J1032" s="13">
        <v>2</v>
      </c>
      <c r="K1032" s="14" t="str">
        <f t="shared" ref="K1032:K1033" si="296">HYPERLINK("http://twitter.com/download/android","Twitter for Android")</f>
        <v>Twitter for Android</v>
      </c>
      <c r="L1032" s="13">
        <v>555</v>
      </c>
      <c r="M1032" s="13">
        <v>377</v>
      </c>
      <c r="N1032" s="13">
        <v>5</v>
      </c>
      <c r="O1032" s="15"/>
      <c r="P1032" s="6">
        <v>40613.464884259258</v>
      </c>
      <c r="Q1032" s="16" t="s">
        <v>2325</v>
      </c>
      <c r="R1032" s="17" t="s">
        <v>2326</v>
      </c>
      <c r="S1032" s="11" t="s">
        <v>2327</v>
      </c>
      <c r="T1032" s="12"/>
      <c r="U1032" s="10" t="str">
        <f>HYPERLINK("https://pbs.twimg.com/profile_images/921109070106546176/8k5IM-Za.jpg","View")</f>
        <v>View</v>
      </c>
    </row>
    <row r="1033" spans="1:21" ht="61.2">
      <c r="A1033" s="6">
        <v>43420.403263888889</v>
      </c>
      <c r="B1033" s="7" t="str">
        <f>HYPERLINK("https://twitter.com/Perseo83","@Perseo83")</f>
        <v>@Perseo83</v>
      </c>
      <c r="C1033" s="8" t="s">
        <v>3452</v>
      </c>
      <c r="D1033" s="9" t="s">
        <v>3453</v>
      </c>
      <c r="E1033" s="10" t="str">
        <f>HYPERLINK("https://twitter.com/Perseo83/status/1063351140685922304","1063351140685922304")</f>
        <v>1063351140685922304</v>
      </c>
      <c r="F1033" s="12"/>
      <c r="G1033" s="12"/>
      <c r="H1033" s="12"/>
      <c r="I1033" s="13">
        <v>0</v>
      </c>
      <c r="J1033" s="13">
        <v>0</v>
      </c>
      <c r="K1033" s="14" t="str">
        <f t="shared" si="296"/>
        <v>Twitter for Android</v>
      </c>
      <c r="L1033" s="13">
        <v>476</v>
      </c>
      <c r="M1033" s="13">
        <v>485</v>
      </c>
      <c r="N1033" s="13">
        <v>0</v>
      </c>
      <c r="O1033" s="15"/>
      <c r="P1033" s="6">
        <v>40338.837245370371</v>
      </c>
      <c r="Q1033" s="16" t="s">
        <v>3454</v>
      </c>
      <c r="R1033" s="17" t="s">
        <v>3455</v>
      </c>
      <c r="S1033" s="12"/>
      <c r="T1033" s="12"/>
      <c r="U1033" s="10" t="str">
        <f>HYPERLINK("https://pbs.twimg.com/profile_images/904002806587285508/DDkC4RK5.jpg","View")</f>
        <v>View</v>
      </c>
    </row>
    <row r="1034" spans="1:21" ht="30.6">
      <c r="A1034" s="6">
        <v>43420.400821759264</v>
      </c>
      <c r="B1034" s="7" t="str">
        <f>HYPERLINK("https://twitter.com/PalaciosAurora","@PalaciosAurora")</f>
        <v>@PalaciosAurora</v>
      </c>
      <c r="C1034" s="8" t="s">
        <v>4221</v>
      </c>
      <c r="D1034" s="9" t="s">
        <v>4223</v>
      </c>
      <c r="E1034" s="10" t="str">
        <f>HYPERLINK("https://twitter.com/PalaciosAurora/status/1063350255218028544","1063350255218028544")</f>
        <v>1063350255218028544</v>
      </c>
      <c r="F1034" s="11" t="s">
        <v>4224</v>
      </c>
      <c r="G1034" s="12"/>
      <c r="H1034" s="12"/>
      <c r="I1034" s="13">
        <v>2</v>
      </c>
      <c r="J1034" s="13">
        <v>1</v>
      </c>
      <c r="K1034" s="14" t="str">
        <f>HYPERLINK("http://twitter.com","Twitter Web Client")</f>
        <v>Twitter Web Client</v>
      </c>
      <c r="L1034" s="13">
        <v>1064</v>
      </c>
      <c r="M1034" s="13">
        <v>884</v>
      </c>
      <c r="N1034" s="13">
        <v>39</v>
      </c>
      <c r="O1034" s="15"/>
      <c r="P1034" s="6">
        <v>41198.765150462961</v>
      </c>
      <c r="Q1034" s="12"/>
      <c r="R1034" s="17" t="s">
        <v>4226</v>
      </c>
      <c r="S1034" s="11" t="s">
        <v>4227</v>
      </c>
      <c r="T1034" s="12"/>
      <c r="U1034" s="10" t="str">
        <f>HYPERLINK("https://pbs.twimg.com/profile_images/771704421227069440/BvnXG9AS.jpg","View")</f>
        <v>View</v>
      </c>
    </row>
    <row r="1035" spans="1:21" ht="20.399999999999999">
      <c r="A1035" s="6">
        <v>43420.396817129629</v>
      </c>
      <c r="B1035" s="7" t="str">
        <f>HYPERLINK("https://twitter.com/MuriasCelorio","@MuriasCelorio")</f>
        <v>@MuriasCelorio</v>
      </c>
      <c r="C1035" s="8" t="s">
        <v>4234</v>
      </c>
      <c r="D1035" s="9" t="s">
        <v>2432</v>
      </c>
      <c r="E1035" s="10" t="str">
        <f>HYPERLINK("https://twitter.com/MuriasCelorio/status/1063348803976208384","1063348803976208384")</f>
        <v>1063348803976208384</v>
      </c>
      <c r="F1035" s="11" t="s">
        <v>2433</v>
      </c>
      <c r="G1035" s="12"/>
      <c r="H1035" s="12"/>
      <c r="I1035" s="13">
        <v>0</v>
      </c>
      <c r="J1035" s="13">
        <v>1</v>
      </c>
      <c r="K1035" s="14" t="str">
        <f>HYPERLINK("http://twitter.com/download/android","Twitter for Android")</f>
        <v>Twitter for Android</v>
      </c>
      <c r="L1035" s="13">
        <v>24</v>
      </c>
      <c r="M1035" s="13">
        <v>180</v>
      </c>
      <c r="N1035" s="13">
        <v>0</v>
      </c>
      <c r="O1035" s="15"/>
      <c r="P1035" s="6">
        <v>42427.460011574076</v>
      </c>
      <c r="Q1035" s="12"/>
      <c r="R1035" s="21"/>
      <c r="S1035" s="12"/>
      <c r="T1035" s="12"/>
      <c r="U1035" s="10" t="str">
        <f>HYPERLINK("https://pbs.twimg.com/profile_images/869200109363486720/Uo169d1E.jpg","View")</f>
        <v>View</v>
      </c>
    </row>
    <row r="1036" spans="1:21" ht="51">
      <c r="A1036" s="6">
        <v>43420.396481481483</v>
      </c>
      <c r="B1036" s="7" t="str">
        <f>HYPERLINK("https://twitter.com/terelucam","@terelucam")</f>
        <v>@terelucam</v>
      </c>
      <c r="C1036" s="8" t="s">
        <v>3456</v>
      </c>
      <c r="D1036" s="9" t="s">
        <v>3457</v>
      </c>
      <c r="E1036" s="10" t="str">
        <f>HYPERLINK("https://twitter.com/terelucam/status/1063348679950696449","1063348679950696449")</f>
        <v>1063348679950696449</v>
      </c>
      <c r="F1036" s="16" t="s">
        <v>3458</v>
      </c>
      <c r="G1036" s="11" t="s">
        <v>3459</v>
      </c>
      <c r="H1036" s="12"/>
      <c r="I1036" s="13">
        <v>0</v>
      </c>
      <c r="J1036" s="13">
        <v>0</v>
      </c>
      <c r="K1036" s="14" t="str">
        <f>HYPERLINK("http://twitter.com/download/iphone","Twitter for iPhone")</f>
        <v>Twitter for iPhone</v>
      </c>
      <c r="L1036" s="13">
        <v>106</v>
      </c>
      <c r="M1036" s="13">
        <v>129</v>
      </c>
      <c r="N1036" s="13">
        <v>1</v>
      </c>
      <c r="O1036" s="15"/>
      <c r="P1036" s="6">
        <v>42860.605972222227</v>
      </c>
      <c r="Q1036" s="16" t="s">
        <v>3460</v>
      </c>
      <c r="R1036" s="17" t="s">
        <v>3461</v>
      </c>
      <c r="S1036" s="12"/>
      <c r="T1036" s="12"/>
      <c r="U1036" s="10" t="str">
        <f>HYPERLINK("https://pbs.twimg.com/profile_images/1063406872575782912/E1sZsHui.jpg","View")</f>
        <v>View</v>
      </c>
    </row>
    <row r="1037" spans="1:21" ht="51">
      <c r="A1037" s="6">
        <v>43420.395625000005</v>
      </c>
      <c r="B1037" s="7" t="str">
        <f>HYPERLINK("https://twitter.com/Vox_Suances","@Vox_Suances")</f>
        <v>@Vox_Suances</v>
      </c>
      <c r="C1037" s="8" t="s">
        <v>3462</v>
      </c>
      <c r="D1037" s="9" t="s">
        <v>3463</v>
      </c>
      <c r="E1037" s="10" t="str">
        <f>HYPERLINK("https://twitter.com/Vox_Suances/status/1063348373586149376","1063348373586149376")</f>
        <v>1063348373586149376</v>
      </c>
      <c r="F1037" s="11" t="s">
        <v>3464</v>
      </c>
      <c r="G1037" s="12"/>
      <c r="H1037" s="12"/>
      <c r="I1037" s="13">
        <v>2</v>
      </c>
      <c r="J1037" s="13">
        <v>3</v>
      </c>
      <c r="K1037" s="14" t="str">
        <f>HYPERLINK("https://mobile.twitter.com","Twitter Lite")</f>
        <v>Twitter Lite</v>
      </c>
      <c r="L1037" s="13">
        <v>798</v>
      </c>
      <c r="M1037" s="13">
        <v>856</v>
      </c>
      <c r="N1037" s="13">
        <v>3</v>
      </c>
      <c r="O1037" s="15"/>
      <c r="P1037" s="6">
        <v>43179.451944444445</v>
      </c>
      <c r="Q1037" s="12"/>
      <c r="R1037" s="17" t="s">
        <v>3465</v>
      </c>
      <c r="S1037" s="12"/>
      <c r="T1037" s="12"/>
      <c r="U1037" s="10" t="str">
        <f>HYPERLINK("https://pbs.twimg.com/profile_images/976034264977420288/frt-KQ2e.jpg","View")</f>
        <v>View</v>
      </c>
    </row>
    <row r="1038" spans="1:21" ht="61.2">
      <c r="A1038" s="6">
        <v>43420.393217592587</v>
      </c>
      <c r="B1038" s="7" t="str">
        <f>HYPERLINK("https://twitter.com/edukabak","@edukabak")</f>
        <v>@edukabak</v>
      </c>
      <c r="C1038" s="8" t="s">
        <v>3466</v>
      </c>
      <c r="D1038" s="9" t="s">
        <v>3467</v>
      </c>
      <c r="E1038" s="10" t="str">
        <f>HYPERLINK("https://twitter.com/edukabak/status/1063347500554379264","1063347500554379264")</f>
        <v>1063347500554379264</v>
      </c>
      <c r="F1038" s="12"/>
      <c r="G1038" s="11" t="s">
        <v>3469</v>
      </c>
      <c r="H1038" s="12"/>
      <c r="I1038" s="13">
        <v>2</v>
      </c>
      <c r="J1038" s="13">
        <v>11</v>
      </c>
      <c r="K1038" s="14" t="str">
        <f t="shared" ref="K1038:K1039" si="297">HYPERLINK("http://twitter.com/download/android","Twitter for Android")</f>
        <v>Twitter for Android</v>
      </c>
      <c r="L1038" s="13">
        <v>1840</v>
      </c>
      <c r="M1038" s="13">
        <v>668</v>
      </c>
      <c r="N1038" s="13">
        <v>37</v>
      </c>
      <c r="O1038" s="15"/>
      <c r="P1038" s="6">
        <v>40571.655497685184</v>
      </c>
      <c r="Q1038" s="16" t="s">
        <v>3470</v>
      </c>
      <c r="R1038" s="17" t="s">
        <v>3471</v>
      </c>
      <c r="S1038" s="11" t="s">
        <v>3472</v>
      </c>
      <c r="T1038" s="12"/>
      <c r="U1038" s="10" t="str">
        <f>HYPERLINK("https://pbs.twimg.com/profile_images/862746729657098240/uVcepbEF.jpg","View")</f>
        <v>View</v>
      </c>
    </row>
    <row r="1039" spans="1:21" ht="40.799999999999997">
      <c r="A1039" s="6">
        <v>43420.392905092594</v>
      </c>
      <c r="B1039" s="7" t="str">
        <f>HYPERLINK("https://twitter.com/dav_carvajal","@dav_carvajal")</f>
        <v>@dav_carvajal</v>
      </c>
      <c r="C1039" s="8" t="s">
        <v>3474</v>
      </c>
      <c r="D1039" s="9" t="s">
        <v>3475</v>
      </c>
      <c r="E1039" s="10" t="str">
        <f>HYPERLINK("https://twitter.com/dav_carvajal/status/1063347386343407617","1063347386343407617")</f>
        <v>1063347386343407617</v>
      </c>
      <c r="F1039" s="11" t="s">
        <v>3476</v>
      </c>
      <c r="G1039" s="12"/>
      <c r="H1039" s="12"/>
      <c r="I1039" s="13">
        <v>0</v>
      </c>
      <c r="J1039" s="13">
        <v>0</v>
      </c>
      <c r="K1039" s="14" t="str">
        <f t="shared" si="297"/>
        <v>Twitter for Android</v>
      </c>
      <c r="L1039" s="13">
        <v>267</v>
      </c>
      <c r="M1039" s="13">
        <v>511</v>
      </c>
      <c r="N1039" s="13">
        <v>0</v>
      </c>
      <c r="O1039" s="15"/>
      <c r="P1039" s="6">
        <v>43206.469525462962</v>
      </c>
      <c r="Q1039" s="16" t="s">
        <v>3477</v>
      </c>
      <c r="R1039" s="17" t="s">
        <v>3478</v>
      </c>
      <c r="S1039" s="12"/>
      <c r="T1039" s="12"/>
      <c r="U1039" s="10" t="str">
        <f>HYPERLINK("https://pbs.twimg.com/profile_images/1001794873698250752/u50Fn1Uu.jpg","View")</f>
        <v>View</v>
      </c>
    </row>
    <row r="1040" spans="1:21" ht="61.2">
      <c r="A1040" s="6">
        <v>43420.390520833331</v>
      </c>
      <c r="B1040" s="7" t="str">
        <f>HYPERLINK("https://twitter.com/diariobalear_es","@diariobalear_es")</f>
        <v>@diariobalear_es</v>
      </c>
      <c r="C1040" s="8" t="s">
        <v>672</v>
      </c>
      <c r="D1040" s="9" t="s">
        <v>3479</v>
      </c>
      <c r="E1040" s="10" t="str">
        <f>HYPERLINK("https://twitter.com/diariobalear_es/status/1063346522727821312","1063346522727821312")</f>
        <v>1063346522727821312</v>
      </c>
      <c r="F1040" s="11" t="s">
        <v>3480</v>
      </c>
      <c r="G1040" s="12"/>
      <c r="H1040" s="12"/>
      <c r="I1040" s="13">
        <v>7</v>
      </c>
      <c r="J1040" s="13">
        <v>12</v>
      </c>
      <c r="K1040" s="14" t="str">
        <f>HYPERLINK("http://twitter.com","Twitter Web Client")</f>
        <v>Twitter Web Client</v>
      </c>
      <c r="L1040" s="13">
        <v>3196</v>
      </c>
      <c r="M1040" s="13">
        <v>347</v>
      </c>
      <c r="N1040" s="13">
        <v>71</v>
      </c>
      <c r="O1040" s="15"/>
      <c r="P1040" s="6">
        <v>41694.754687499997</v>
      </c>
      <c r="Q1040" s="16" t="s">
        <v>675</v>
      </c>
      <c r="R1040" s="17" t="s">
        <v>676</v>
      </c>
      <c r="S1040" s="11" t="s">
        <v>677</v>
      </c>
      <c r="T1040" s="12"/>
      <c r="U1040" s="10" t="str">
        <f>HYPERLINK("https://pbs.twimg.com/profile_images/992417277797597184/28OVRjFF.jpg","View")</f>
        <v>View</v>
      </c>
    </row>
    <row r="1041" spans="1:21" ht="51">
      <c r="A1041" s="6">
        <v>43420.385914351849</v>
      </c>
      <c r="B1041" s="7" t="str">
        <f>HYPERLINK("https://twitter.com/enrilink","@enrilink")</f>
        <v>@enrilink</v>
      </c>
      <c r="C1041" s="8" t="s">
        <v>3481</v>
      </c>
      <c r="D1041" s="9" t="s">
        <v>3482</v>
      </c>
      <c r="E1041" s="10" t="str">
        <f>HYPERLINK("https://twitter.com/enrilink/status/1063344851012472834","1063344851012472834")</f>
        <v>1063344851012472834</v>
      </c>
      <c r="F1041" s="12"/>
      <c r="G1041" s="12"/>
      <c r="H1041" s="12"/>
      <c r="I1041" s="13">
        <v>3</v>
      </c>
      <c r="J1041" s="13">
        <v>3</v>
      </c>
      <c r="K1041" s="14" t="str">
        <f t="shared" ref="K1041:K1042" si="298">HYPERLINK("http://twitter.com/download/android","Twitter for Android")</f>
        <v>Twitter for Android</v>
      </c>
      <c r="L1041" s="13">
        <v>18188</v>
      </c>
      <c r="M1041" s="13">
        <v>19575</v>
      </c>
      <c r="N1041" s="13">
        <v>93</v>
      </c>
      <c r="O1041" s="15"/>
      <c r="P1041" s="6">
        <v>40683.522314814814</v>
      </c>
      <c r="Q1041" s="16" t="s">
        <v>533</v>
      </c>
      <c r="R1041" s="17" t="s">
        <v>3483</v>
      </c>
      <c r="S1041" s="11" t="s">
        <v>3484</v>
      </c>
      <c r="T1041" s="12"/>
      <c r="U1041" s="10" t="str">
        <f>HYPERLINK("https://pbs.twimg.com/profile_images/477717473270448128/FX5Dcya9.jpeg","View")</f>
        <v>View</v>
      </c>
    </row>
    <row r="1042" spans="1:21" ht="61.2">
      <c r="A1042" s="6">
        <v>43420.384942129633</v>
      </c>
      <c r="B1042" s="7" t="str">
        <f>HYPERLINK("https://twitter.com/IsRamirezLopez","@IsRamirezLopez")</f>
        <v>@IsRamirezLopez</v>
      </c>
      <c r="C1042" s="8" t="s">
        <v>3485</v>
      </c>
      <c r="D1042" s="9" t="s">
        <v>3486</v>
      </c>
      <c r="E1042" s="10" t="str">
        <f>HYPERLINK("https://twitter.com/IsRamirezLopez/status/1063344499252961280","1063344499252961280")</f>
        <v>1063344499252961280</v>
      </c>
      <c r="F1042" s="11" t="s">
        <v>3141</v>
      </c>
      <c r="G1042" s="11" t="s">
        <v>3142</v>
      </c>
      <c r="H1042" s="12"/>
      <c r="I1042" s="13">
        <v>0</v>
      </c>
      <c r="J1042" s="13">
        <v>0</v>
      </c>
      <c r="K1042" s="14" t="str">
        <f t="shared" si="298"/>
        <v>Twitter for Android</v>
      </c>
      <c r="L1042" s="13">
        <v>386</v>
      </c>
      <c r="M1042" s="13">
        <v>1026</v>
      </c>
      <c r="N1042" s="13">
        <v>8</v>
      </c>
      <c r="O1042" s="15"/>
      <c r="P1042" s="6">
        <v>40366.596712962964</v>
      </c>
      <c r="Q1042" s="16" t="s">
        <v>3487</v>
      </c>
      <c r="R1042" s="17" t="s">
        <v>3488</v>
      </c>
      <c r="S1042" s="12"/>
      <c r="T1042" s="12"/>
      <c r="U1042" s="10" t="str">
        <f>HYPERLINK("https://pbs.twimg.com/profile_images/1028941968108384256/sFnJw9-H.jpg","View")</f>
        <v>View</v>
      </c>
    </row>
    <row r="1043" spans="1:21" ht="51">
      <c r="A1043" s="6">
        <v>43420.376388888893</v>
      </c>
      <c r="B1043" s="7" t="str">
        <f>HYPERLINK("https://twitter.com/bitMomentum","@bitMomentum")</f>
        <v>@bitMomentum</v>
      </c>
      <c r="C1043" s="8" t="s">
        <v>368</v>
      </c>
      <c r="D1043" s="9" t="s">
        <v>3489</v>
      </c>
      <c r="E1043" s="10" t="str">
        <f>HYPERLINK("https://twitter.com/bitMomentum/status/1063341399310024704","1063341399310024704")</f>
        <v>1063341399310024704</v>
      </c>
      <c r="F1043" s="12"/>
      <c r="G1043" s="12"/>
      <c r="H1043" s="12"/>
      <c r="I1043" s="13">
        <v>0</v>
      </c>
      <c r="J1043" s="13">
        <v>1</v>
      </c>
      <c r="K1043" s="14" t="str">
        <f>HYPERLINK("http://www.bitmomentum.com","bitMomentum Bot")</f>
        <v>bitMomentum Bot</v>
      </c>
      <c r="L1043" s="13">
        <v>10132</v>
      </c>
      <c r="M1043" s="13">
        <v>1060</v>
      </c>
      <c r="N1043" s="13">
        <v>267</v>
      </c>
      <c r="O1043" s="15"/>
      <c r="P1043" s="6">
        <v>41608.667511574073</v>
      </c>
      <c r="Q1043" s="12"/>
      <c r="R1043" s="17" t="s">
        <v>371</v>
      </c>
      <c r="S1043" s="11" t="s">
        <v>372</v>
      </c>
      <c r="T1043" s="12"/>
      <c r="U1043" s="10" t="str">
        <f>HYPERLINK("https://pbs.twimg.com/profile_images/378800000862185241/20ij2H3u.png","View")</f>
        <v>View</v>
      </c>
    </row>
    <row r="1044" spans="1:21" ht="61.2">
      <c r="A1044" s="6">
        <v>43420.37563657407</v>
      </c>
      <c r="B1044" s="7" t="str">
        <f>HYPERLINK("https://twitter.com/pasionxespana","@pasionxespana")</f>
        <v>@pasionxespana</v>
      </c>
      <c r="C1044" s="8" t="s">
        <v>4256</v>
      </c>
      <c r="D1044" s="9" t="s">
        <v>4257</v>
      </c>
      <c r="E1044" s="10" t="str">
        <f>HYPERLINK("https://twitter.com/pasionxespana/status/1063341127401684992","1063341127401684992")</f>
        <v>1063341127401684992</v>
      </c>
      <c r="F1044" s="12"/>
      <c r="G1044" s="11" t="s">
        <v>4258</v>
      </c>
      <c r="H1044" s="12"/>
      <c r="I1044" s="13">
        <v>0</v>
      </c>
      <c r="J1044" s="13">
        <v>0</v>
      </c>
      <c r="K1044" s="14" t="str">
        <f>HYPERLINK("https://ifttt.com","IFTTT")</f>
        <v>IFTTT</v>
      </c>
      <c r="L1044" s="13">
        <v>1826</v>
      </c>
      <c r="M1044" s="13">
        <v>3028</v>
      </c>
      <c r="N1044" s="13">
        <v>40</v>
      </c>
      <c r="O1044" s="15"/>
      <c r="P1044" s="6">
        <v>42607.629606481481</v>
      </c>
      <c r="Q1044" s="12"/>
      <c r="R1044" s="17" t="s">
        <v>4259</v>
      </c>
      <c r="S1044" s="11" t="s">
        <v>4260</v>
      </c>
      <c r="T1044" s="12"/>
      <c r="U1044" s="10" t="str">
        <f>HYPERLINK("https://pbs.twimg.com/profile_images/903227976258551808/C6YEfbP_.jpg","View")</f>
        <v>View</v>
      </c>
    </row>
    <row r="1045" spans="1:21" ht="51">
      <c r="A1045" s="6">
        <v>43420.375486111108</v>
      </c>
      <c r="B1045" s="7" t="str">
        <f>HYPERLINK("https://twitter.com/_23Sergio","@_23Sergio")</f>
        <v>@_23Sergio</v>
      </c>
      <c r="C1045" s="8" t="s">
        <v>4262</v>
      </c>
      <c r="D1045" s="9" t="s">
        <v>4263</v>
      </c>
      <c r="E1045" s="10" t="str">
        <f>HYPERLINK("https://twitter.com/_23Sergio/status/1063341071554482176","1063341071554482176")</f>
        <v>1063341071554482176</v>
      </c>
      <c r="F1045" s="11" t="s">
        <v>3420</v>
      </c>
      <c r="G1045" s="12"/>
      <c r="H1045" s="12"/>
      <c r="I1045" s="13">
        <v>1</v>
      </c>
      <c r="J1045" s="13">
        <v>1</v>
      </c>
      <c r="K1045" s="14" t="str">
        <f t="shared" ref="K1045:K1046" si="299">HYPERLINK("http://twitter.com/download/android","Twitter for Android")</f>
        <v>Twitter for Android</v>
      </c>
      <c r="L1045" s="13">
        <v>1051</v>
      </c>
      <c r="M1045" s="13">
        <v>1094</v>
      </c>
      <c r="N1045" s="13">
        <v>12</v>
      </c>
      <c r="O1045" s="15"/>
      <c r="P1045" s="6">
        <v>40503.781458333331</v>
      </c>
      <c r="Q1045" s="16" t="s">
        <v>4103</v>
      </c>
      <c r="R1045" s="17" t="s">
        <v>4265</v>
      </c>
      <c r="S1045" s="12"/>
      <c r="T1045" s="12"/>
      <c r="U1045" s="10" t="str">
        <f>HYPERLINK("https://pbs.twimg.com/profile_images/959348744822157312/wUGKBFb3.jpg","View")</f>
        <v>View</v>
      </c>
    </row>
    <row r="1046" spans="1:21" ht="51">
      <c r="A1046" s="6">
        <v>43420.371932870374</v>
      </c>
      <c r="B1046" s="7" t="str">
        <f>HYPERLINK("https://twitter.com/isguro81","@isguro81")</f>
        <v>@isguro81</v>
      </c>
      <c r="C1046" s="8" t="s">
        <v>3490</v>
      </c>
      <c r="D1046" s="9" t="s">
        <v>3491</v>
      </c>
      <c r="E1046" s="10" t="str">
        <f>HYPERLINK("https://twitter.com/isguro81/status/1063339787887828992","1063339787887828992")</f>
        <v>1063339787887828992</v>
      </c>
      <c r="F1046" s="12"/>
      <c r="G1046" s="12"/>
      <c r="H1046" s="12"/>
      <c r="I1046" s="13">
        <v>0</v>
      </c>
      <c r="J1046" s="13">
        <v>2</v>
      </c>
      <c r="K1046" s="14" t="str">
        <f t="shared" si="299"/>
        <v>Twitter for Android</v>
      </c>
      <c r="L1046" s="13">
        <v>281</v>
      </c>
      <c r="M1046" s="13">
        <v>374</v>
      </c>
      <c r="N1046" s="13">
        <v>9</v>
      </c>
      <c r="O1046" s="15"/>
      <c r="P1046" s="6">
        <v>40013.698310185187</v>
      </c>
      <c r="Q1046" s="16" t="s">
        <v>1227</v>
      </c>
      <c r="R1046" s="17" t="s">
        <v>3492</v>
      </c>
      <c r="S1046" s="12"/>
      <c r="T1046" s="12"/>
      <c r="U1046" s="10" t="str">
        <f>HYPERLINK("https://pbs.twimg.com/profile_images/2593490494/42pojXYJ","View")</f>
        <v>View</v>
      </c>
    </row>
    <row r="1047" spans="1:21" ht="51">
      <c r="A1047" s="6">
        <v>43420.365104166667</v>
      </c>
      <c r="B1047" s="7" t="str">
        <f>HYPERLINK("https://twitter.com/DaniGL93","@DaniGL93")</f>
        <v>@DaniGL93</v>
      </c>
      <c r="C1047" s="8" t="s">
        <v>3494</v>
      </c>
      <c r="D1047" s="9" t="s">
        <v>3495</v>
      </c>
      <c r="E1047" s="10" t="str">
        <f>HYPERLINK("https://twitter.com/DaniGL93/status/1063337309712646146","1063337309712646146")</f>
        <v>1063337309712646146</v>
      </c>
      <c r="F1047" s="12"/>
      <c r="G1047" s="12"/>
      <c r="H1047" s="12"/>
      <c r="I1047" s="13">
        <v>0</v>
      </c>
      <c r="J1047" s="13">
        <v>0</v>
      </c>
      <c r="K1047" s="14" t="str">
        <f>HYPERLINK("http://twitter.com","Twitter Web Client")</f>
        <v>Twitter Web Client</v>
      </c>
      <c r="L1047" s="13">
        <v>80</v>
      </c>
      <c r="M1047" s="13">
        <v>201</v>
      </c>
      <c r="N1047" s="13">
        <v>1</v>
      </c>
      <c r="O1047" s="15"/>
      <c r="P1047" s="6">
        <v>40826.459803240738</v>
      </c>
      <c r="Q1047" s="16" t="s">
        <v>1783</v>
      </c>
      <c r="R1047" s="17" t="s">
        <v>3496</v>
      </c>
      <c r="S1047" s="12"/>
      <c r="T1047" s="12"/>
      <c r="U1047" s="10" t="str">
        <f>HYPERLINK("https://pbs.twimg.com/profile_images/986178050785193984/J1gMNjsh.jpg","View")</f>
        <v>View</v>
      </c>
    </row>
    <row r="1048" spans="1:21" ht="40.799999999999997">
      <c r="A1048" s="6">
        <v>43420.362870370373</v>
      </c>
      <c r="B1048" s="7" t="str">
        <f>HYPERLINK("https://twitter.com/MigAnVazquez","@MigAnVazquez")</f>
        <v>@MigAnVazquez</v>
      </c>
      <c r="C1048" s="8" t="s">
        <v>3497</v>
      </c>
      <c r="D1048" s="9" t="s">
        <v>3498</v>
      </c>
      <c r="E1048" s="10" t="str">
        <f>HYPERLINK("https://twitter.com/MigAnVazquez/status/1063336500534931461","1063336500534931461")</f>
        <v>1063336500534931461</v>
      </c>
      <c r="F1048" s="12"/>
      <c r="G1048" s="12"/>
      <c r="H1048" s="12"/>
      <c r="I1048" s="13">
        <v>0</v>
      </c>
      <c r="J1048" s="13">
        <v>0</v>
      </c>
      <c r="K1048" s="14" t="str">
        <f>HYPERLINK("http://twitter.com/download/android","Twitter for Android")</f>
        <v>Twitter for Android</v>
      </c>
      <c r="L1048" s="13">
        <v>470</v>
      </c>
      <c r="M1048" s="13">
        <v>99</v>
      </c>
      <c r="N1048" s="13">
        <v>26</v>
      </c>
      <c r="O1048" s="15"/>
      <c r="P1048" s="6">
        <v>40810.024398148147</v>
      </c>
      <c r="Q1048" s="16" t="s">
        <v>1204</v>
      </c>
      <c r="R1048" s="17" t="s">
        <v>3499</v>
      </c>
      <c r="S1048" s="12"/>
      <c r="T1048" s="12"/>
      <c r="U1048" s="10" t="str">
        <f>HYPERLINK("https://pbs.twimg.com/profile_images/1018237040469700609/sWBXvjP-.jpg","View")</f>
        <v>View</v>
      </c>
    </row>
    <row r="1049" spans="1:21" ht="51">
      <c r="A1049" s="6">
        <v>43420.360671296294</v>
      </c>
      <c r="B1049" s="7" t="str">
        <f>HYPERLINK("https://twitter.com/ynometutee","@ynometutee")</f>
        <v>@ynometutee</v>
      </c>
      <c r="C1049" s="8" t="s">
        <v>3502</v>
      </c>
      <c r="D1049" s="9" t="s">
        <v>3503</v>
      </c>
      <c r="E1049" s="10" t="str">
        <f>HYPERLINK("https://twitter.com/ynometutee/status/1063335702711148544","1063335702711148544")</f>
        <v>1063335702711148544</v>
      </c>
      <c r="F1049" s="12"/>
      <c r="G1049" s="12"/>
      <c r="H1049" s="12"/>
      <c r="I1049" s="13">
        <v>0</v>
      </c>
      <c r="J1049" s="13">
        <v>0</v>
      </c>
      <c r="K1049" s="14" t="str">
        <f>HYPERLINK("http://twitter.com/download/iphone","Twitter for iPhone")</f>
        <v>Twitter for iPhone</v>
      </c>
      <c r="L1049" s="13">
        <v>40</v>
      </c>
      <c r="M1049" s="13">
        <v>158</v>
      </c>
      <c r="N1049" s="13">
        <v>1</v>
      </c>
      <c r="O1049" s="15"/>
      <c r="P1049" s="6">
        <v>42962.452372685184</v>
      </c>
      <c r="Q1049" s="16" t="s">
        <v>3506</v>
      </c>
      <c r="R1049" s="17" t="s">
        <v>3507</v>
      </c>
      <c r="S1049" s="12"/>
      <c r="T1049" s="12"/>
      <c r="U1049" s="10" t="str">
        <f>HYPERLINK("https://pbs.twimg.com/profile_images/897384268825022467/US0PIyLC.jpg","View")</f>
        <v>View</v>
      </c>
    </row>
    <row r="1050" spans="1:21" ht="61.2">
      <c r="A1050" s="6">
        <v>43420.355451388888</v>
      </c>
      <c r="B1050" s="7" t="str">
        <f>HYPERLINK("https://twitter.com/MiltonBenedict","@MiltonBenedict")</f>
        <v>@MiltonBenedict</v>
      </c>
      <c r="C1050" s="8" t="s">
        <v>2638</v>
      </c>
      <c r="D1050" s="9" t="s">
        <v>3508</v>
      </c>
      <c r="E1050" s="10" t="str">
        <f>HYPERLINK("https://twitter.com/MiltonBenedict/status/1063333812720017410","1063333812720017410")</f>
        <v>1063333812720017410</v>
      </c>
      <c r="F1050" s="11" t="s">
        <v>3509</v>
      </c>
      <c r="G1050" s="11" t="s">
        <v>2397</v>
      </c>
      <c r="H1050" s="12"/>
      <c r="I1050" s="13">
        <v>0</v>
      </c>
      <c r="J1050" s="13">
        <v>1</v>
      </c>
      <c r="K1050" s="14" t="str">
        <f>HYPERLINK("http://twitter.com/download/android","Twitter for Android")</f>
        <v>Twitter for Android</v>
      </c>
      <c r="L1050" s="13">
        <v>7</v>
      </c>
      <c r="M1050" s="13">
        <v>38</v>
      </c>
      <c r="N1050" s="13">
        <v>0</v>
      </c>
      <c r="O1050" s="15"/>
      <c r="P1050" s="6">
        <v>43419.898634259254</v>
      </c>
      <c r="Q1050" s="16" t="s">
        <v>44</v>
      </c>
      <c r="R1050" s="17" t="s">
        <v>2641</v>
      </c>
      <c r="S1050" s="12"/>
      <c r="T1050" s="12"/>
      <c r="U1050" s="10" t="str">
        <f>HYPERLINK("https://pbs.twimg.com/profile_images/1063172049466781703/8PETH5q3.jpg","View")</f>
        <v>View</v>
      </c>
    </row>
    <row r="1051" spans="1:21" ht="20.399999999999999">
      <c r="A1051" s="6">
        <v>43420.351863425924</v>
      </c>
      <c r="B1051" s="7" t="str">
        <f>HYPERLINK("https://twitter.com/Vox_Antonio","@Vox_Antonio")</f>
        <v>@Vox_Antonio</v>
      </c>
      <c r="C1051" s="8" t="s">
        <v>4278</v>
      </c>
      <c r="D1051" s="9" t="s">
        <v>4279</v>
      </c>
      <c r="E1051" s="10" t="str">
        <f>HYPERLINK("https://twitter.com/Vox_Antonio/status/1063332513903505409","1063332513903505409")</f>
        <v>1063332513903505409</v>
      </c>
      <c r="F1051" s="12"/>
      <c r="G1051" s="11" t="s">
        <v>4280</v>
      </c>
      <c r="H1051" s="12"/>
      <c r="I1051" s="13">
        <v>0</v>
      </c>
      <c r="J1051" s="13">
        <v>0</v>
      </c>
      <c r="K1051" s="14" t="str">
        <f>HYPERLINK("https://ifttt.com","IFTTT")</f>
        <v>IFTTT</v>
      </c>
      <c r="L1051" s="13">
        <v>1056</v>
      </c>
      <c r="M1051" s="13">
        <v>226</v>
      </c>
      <c r="N1051" s="13">
        <v>15</v>
      </c>
      <c r="O1051" s="15"/>
      <c r="P1051" s="6">
        <v>40301.016817129632</v>
      </c>
      <c r="Q1051" s="16" t="s">
        <v>4283</v>
      </c>
      <c r="R1051" s="17" t="s">
        <v>4284</v>
      </c>
      <c r="S1051" s="11" t="s">
        <v>187</v>
      </c>
      <c r="T1051" s="12"/>
      <c r="U1051" s="10" t="str">
        <f>HYPERLINK("https://pbs.twimg.com/profile_images/708578361443028992/CXzI2Cz-.jpg","View")</f>
        <v>View</v>
      </c>
    </row>
    <row r="1052" spans="1:21" ht="20.399999999999999">
      <c r="A1052" s="6">
        <v>43420.349097222221</v>
      </c>
      <c r="B1052" s="7" t="str">
        <f>HYPERLINK("https://twitter.com/AlfonsoRojoPD","@AlfonsoRojoPD")</f>
        <v>@AlfonsoRojoPD</v>
      </c>
      <c r="C1052" s="8" t="s">
        <v>4135</v>
      </c>
      <c r="D1052" s="9" t="s">
        <v>2432</v>
      </c>
      <c r="E1052" s="10" t="str">
        <f>HYPERLINK("https://twitter.com/AlfonsoRojoPD/status/1063331508742750208","1063331508742750208")</f>
        <v>1063331508742750208</v>
      </c>
      <c r="F1052" s="11" t="s">
        <v>2433</v>
      </c>
      <c r="G1052" s="12"/>
      <c r="H1052" s="12"/>
      <c r="I1052" s="13">
        <v>7</v>
      </c>
      <c r="J1052" s="13">
        <v>9</v>
      </c>
      <c r="K1052" s="14" t="str">
        <f>HYPERLINK("http://twitter.com","Twitter Web Client")</f>
        <v>Twitter Web Client</v>
      </c>
      <c r="L1052" s="13">
        <v>48930</v>
      </c>
      <c r="M1052" s="13">
        <v>0</v>
      </c>
      <c r="N1052" s="13">
        <v>671</v>
      </c>
      <c r="O1052" s="23" t="s">
        <v>186</v>
      </c>
      <c r="P1052" s="6">
        <v>41704.447048611109</v>
      </c>
      <c r="Q1052" s="16" t="s">
        <v>104</v>
      </c>
      <c r="R1052" s="17" t="s">
        <v>4137</v>
      </c>
      <c r="S1052" s="11" t="s">
        <v>4138</v>
      </c>
      <c r="T1052" s="12"/>
      <c r="U1052" s="10" t="str">
        <f>HYPERLINK("https://pbs.twimg.com/profile_images/441511791210663936/QbI_6aXh.jpeg","View")</f>
        <v>View</v>
      </c>
    </row>
    <row r="1053" spans="1:21" ht="51">
      <c r="A1053" s="6">
        <v>43420.338182870371</v>
      </c>
      <c r="B1053" s="7" t="str">
        <f>HYPERLINK("https://twitter.com/trendinaliaES","@trendinaliaES")</f>
        <v>@trendinaliaES</v>
      </c>
      <c r="C1053" s="8" t="s">
        <v>265</v>
      </c>
      <c r="D1053" s="9" t="s">
        <v>3510</v>
      </c>
      <c r="E1053" s="10" t="str">
        <f>HYPERLINK("https://twitter.com/trendinaliaES/status/1063327555221041152","1063327555221041152")</f>
        <v>1063327555221041152</v>
      </c>
      <c r="F1053" s="11" t="s">
        <v>3511</v>
      </c>
      <c r="G1053" s="12"/>
      <c r="H1053" s="12" t="str">
        <f>HYPERLINK("https://ctrlq.org/maps/address/#40.4203,-3.7058","Map")</f>
        <v>Map</v>
      </c>
      <c r="I1053" s="13">
        <v>0</v>
      </c>
      <c r="J1053" s="13">
        <v>0</v>
      </c>
      <c r="K1053" s="14" t="str">
        <f>HYPERLINK("http://laconversa.com","Es Tendencia en España")</f>
        <v>Es Tendencia en España</v>
      </c>
      <c r="L1053" s="13">
        <v>49141</v>
      </c>
      <c r="M1053" s="13">
        <v>37</v>
      </c>
      <c r="N1053" s="13">
        <v>723</v>
      </c>
      <c r="O1053" s="23" t="s">
        <v>186</v>
      </c>
      <c r="P1053" s="6">
        <v>41319.819074074076</v>
      </c>
      <c r="Q1053" s="16" t="s">
        <v>66</v>
      </c>
      <c r="R1053" s="17" t="s">
        <v>268</v>
      </c>
      <c r="S1053" s="11" t="s">
        <v>269</v>
      </c>
      <c r="T1053" s="12"/>
      <c r="U1053" s="10" t="str">
        <f>HYPERLINK("https://pbs.twimg.com/profile_images/696485210821632000/xpdMQ_mE.png","View")</f>
        <v>View</v>
      </c>
    </row>
    <row r="1054" spans="1:21" ht="51">
      <c r="A1054" s="6">
        <v>43420.334722222222</v>
      </c>
      <c r="B1054" s="7" t="str">
        <f>HYPERLINK("https://twitter.com/bitMomentum","@bitMomentum")</f>
        <v>@bitMomentum</v>
      </c>
      <c r="C1054" s="8" t="s">
        <v>368</v>
      </c>
      <c r="D1054" s="9" t="s">
        <v>3512</v>
      </c>
      <c r="E1054" s="10" t="str">
        <f>HYPERLINK("https://twitter.com/bitMomentum/status/1063326299836555264","1063326299836555264")</f>
        <v>1063326299836555264</v>
      </c>
      <c r="F1054" s="12"/>
      <c r="G1054" s="12"/>
      <c r="H1054" s="12"/>
      <c r="I1054" s="13">
        <v>0</v>
      </c>
      <c r="J1054" s="13">
        <v>0</v>
      </c>
      <c r="K1054" s="14" t="str">
        <f>HYPERLINK("http://www.bitmomentum.com","bitMomentum Bot")</f>
        <v>bitMomentum Bot</v>
      </c>
      <c r="L1054" s="13">
        <v>10132</v>
      </c>
      <c r="M1054" s="13">
        <v>1060</v>
      </c>
      <c r="N1054" s="13">
        <v>267</v>
      </c>
      <c r="O1054" s="15"/>
      <c r="P1054" s="6">
        <v>41608.667511574073</v>
      </c>
      <c r="Q1054" s="12"/>
      <c r="R1054" s="17" t="s">
        <v>371</v>
      </c>
      <c r="S1054" s="11" t="s">
        <v>372</v>
      </c>
      <c r="T1054" s="12"/>
      <c r="U1054" s="10" t="str">
        <f>HYPERLINK("https://pbs.twimg.com/profile_images/378800000862185241/20ij2H3u.png","View")</f>
        <v>View</v>
      </c>
    </row>
    <row r="1055" spans="1:21" ht="91.8">
      <c r="A1055" s="6">
        <v>43420.327534722222</v>
      </c>
      <c r="B1055" s="7" t="str">
        <f>HYPERLINK("https://twitter.com/MiguelMaster011","@MiguelMaster011")</f>
        <v>@MiguelMaster011</v>
      </c>
      <c r="C1055" s="8" t="s">
        <v>3513</v>
      </c>
      <c r="D1055" s="9" t="s">
        <v>3514</v>
      </c>
      <c r="E1055" s="10" t="str">
        <f>HYPERLINK("https://twitter.com/MiguelMaster011/status/1063323695215796224","1063323695215796224")</f>
        <v>1063323695215796224</v>
      </c>
      <c r="F1055" s="11" t="s">
        <v>3515</v>
      </c>
      <c r="G1055" s="11" t="s">
        <v>3516</v>
      </c>
      <c r="H1055" s="12"/>
      <c r="I1055" s="13">
        <v>1</v>
      </c>
      <c r="J1055" s="13">
        <v>6</v>
      </c>
      <c r="K1055" s="14" t="str">
        <f t="shared" ref="K1055:K1057" si="300">HYPERLINK("http://twitter.com/download/android","Twitter for Android")</f>
        <v>Twitter for Android</v>
      </c>
      <c r="L1055" s="13">
        <v>246</v>
      </c>
      <c r="M1055" s="13">
        <v>641</v>
      </c>
      <c r="N1055" s="13">
        <v>2</v>
      </c>
      <c r="O1055" s="15"/>
      <c r="P1055" s="6">
        <v>42463.420289351852</v>
      </c>
      <c r="Q1055" s="16" t="s">
        <v>44</v>
      </c>
      <c r="R1055" s="17" t="s">
        <v>3517</v>
      </c>
      <c r="S1055" s="12"/>
      <c r="T1055" s="12"/>
      <c r="U1055" s="10" t="str">
        <f>HYPERLINK("https://pbs.twimg.com/profile_images/1013151099795238914/pn1EKDQu.jpg","View")</f>
        <v>View</v>
      </c>
    </row>
    <row r="1056" spans="1:21" ht="91.8">
      <c r="A1056" s="6">
        <v>43420.324143518519</v>
      </c>
      <c r="B1056" s="7" t="str">
        <f>HYPERLINK("https://twitter.com/VoxSierraNorte","@VoxSierraNorte")</f>
        <v>@VoxSierraNorte</v>
      </c>
      <c r="C1056" s="8" t="s">
        <v>3518</v>
      </c>
      <c r="D1056" s="9" t="s">
        <v>3519</v>
      </c>
      <c r="E1056" s="10" t="str">
        <f>HYPERLINK("https://twitter.com/VoxSierraNorte/status/1063322466582503424","1063322466582503424")</f>
        <v>1063322466582503424</v>
      </c>
      <c r="F1056" s="16" t="s">
        <v>3520</v>
      </c>
      <c r="G1056" s="12"/>
      <c r="H1056" s="12"/>
      <c r="I1056" s="13">
        <v>11</v>
      </c>
      <c r="J1056" s="13">
        <v>6</v>
      </c>
      <c r="K1056" s="14" t="str">
        <f t="shared" si="300"/>
        <v>Twitter for Android</v>
      </c>
      <c r="L1056" s="13">
        <v>183</v>
      </c>
      <c r="M1056" s="13">
        <v>191</v>
      </c>
      <c r="N1056" s="13">
        <v>0</v>
      </c>
      <c r="O1056" s="15"/>
      <c r="P1056" s="6">
        <v>42994.031678240739</v>
      </c>
      <c r="Q1056" s="16" t="s">
        <v>3521</v>
      </c>
      <c r="R1056" s="17" t="s">
        <v>3522</v>
      </c>
      <c r="S1056" s="12"/>
      <c r="T1056" s="12"/>
      <c r="U1056" s="10" t="str">
        <f>HYPERLINK("https://pbs.twimg.com/profile_images/908832797908983808/wFnLjIHU.jpg","View")</f>
        <v>View</v>
      </c>
    </row>
    <row r="1057" spans="1:21" ht="30.6">
      <c r="A1057" s="6">
        <v>43420.312731481477</v>
      </c>
      <c r="B1057" s="7" t="str">
        <f>HYPERLINK("https://twitter.com/Sevilla_Inf","@Sevilla_Inf")</f>
        <v>@Sevilla_Inf</v>
      </c>
      <c r="C1057" s="8" t="s">
        <v>1428</v>
      </c>
      <c r="D1057" s="9" t="s">
        <v>3523</v>
      </c>
      <c r="E1057" s="10" t="str">
        <f>HYPERLINK("https://twitter.com/Sevilla_Inf/status/1063318331145490433","1063318331145490433")</f>
        <v>1063318331145490433</v>
      </c>
      <c r="F1057" s="11" t="s">
        <v>3524</v>
      </c>
      <c r="G1057" s="12"/>
      <c r="H1057" s="12"/>
      <c r="I1057" s="13">
        <v>1</v>
      </c>
      <c r="J1057" s="13">
        <v>0</v>
      </c>
      <c r="K1057" s="14" t="str">
        <f t="shared" si="300"/>
        <v>Twitter for Android</v>
      </c>
      <c r="L1057" s="13">
        <v>4119</v>
      </c>
      <c r="M1057" s="13">
        <v>72</v>
      </c>
      <c r="N1057" s="13">
        <v>128</v>
      </c>
      <c r="O1057" s="15"/>
      <c r="P1057" s="6">
        <v>42130.637719907405</v>
      </c>
      <c r="Q1057" s="16" t="s">
        <v>34</v>
      </c>
      <c r="R1057" s="17" t="s">
        <v>1431</v>
      </c>
      <c r="S1057" s="11" t="s">
        <v>1432</v>
      </c>
      <c r="T1057" s="12"/>
      <c r="U1057" s="10" t="str">
        <f>HYPERLINK("https://pbs.twimg.com/profile_images/985253106949738496/slrsjper.jpg","View")</f>
        <v>View</v>
      </c>
    </row>
    <row r="1058" spans="1:21" ht="51">
      <c r="A1058" s="6">
        <v>43420.301180555558</v>
      </c>
      <c r="B1058" s="7" t="str">
        <f>HYPERLINK("https://twitter.com/diariobalear_es","@diariobalear_es")</f>
        <v>@diariobalear_es</v>
      </c>
      <c r="C1058" s="8" t="s">
        <v>672</v>
      </c>
      <c r="D1058" s="9" t="s">
        <v>3525</v>
      </c>
      <c r="E1058" s="10" t="str">
        <f>HYPERLINK("https://twitter.com/diariobalear_es/status/1063314144823336960","1063314144823336960")</f>
        <v>1063314144823336960</v>
      </c>
      <c r="F1058" s="11" t="s">
        <v>3526</v>
      </c>
      <c r="G1058" s="12"/>
      <c r="H1058" s="12"/>
      <c r="I1058" s="13">
        <v>12</v>
      </c>
      <c r="J1058" s="13">
        <v>16</v>
      </c>
      <c r="K1058" s="14" t="str">
        <f>HYPERLINK("http://twitter.com","Twitter Web Client")</f>
        <v>Twitter Web Client</v>
      </c>
      <c r="L1058" s="13">
        <v>3196</v>
      </c>
      <c r="M1058" s="13">
        <v>347</v>
      </c>
      <c r="N1058" s="13">
        <v>71</v>
      </c>
      <c r="O1058" s="15"/>
      <c r="P1058" s="6">
        <v>41694.754687499997</v>
      </c>
      <c r="Q1058" s="16" t="s">
        <v>675</v>
      </c>
      <c r="R1058" s="17" t="s">
        <v>676</v>
      </c>
      <c r="S1058" s="11" t="s">
        <v>677</v>
      </c>
      <c r="T1058" s="12"/>
      <c r="U1058" s="10" t="str">
        <f>HYPERLINK("https://pbs.twimg.com/profile_images/992417277797597184/28OVRjFF.jpg","View")</f>
        <v>View</v>
      </c>
    </row>
    <row r="1059" spans="1:21" ht="51">
      <c r="A1059" s="6">
        <v>43420.29305555555</v>
      </c>
      <c r="B1059" s="7" t="str">
        <f>HYPERLINK("https://twitter.com/bitMomentum","@bitMomentum")</f>
        <v>@bitMomentum</v>
      </c>
      <c r="C1059" s="8" t="s">
        <v>368</v>
      </c>
      <c r="D1059" s="9" t="s">
        <v>3528</v>
      </c>
      <c r="E1059" s="10" t="str">
        <f>HYPERLINK("https://twitter.com/bitMomentum/status/1063311200086343681","1063311200086343681")</f>
        <v>1063311200086343681</v>
      </c>
      <c r="F1059" s="12"/>
      <c r="G1059" s="12"/>
      <c r="H1059" s="12"/>
      <c r="I1059" s="13">
        <v>0</v>
      </c>
      <c r="J1059" s="13">
        <v>1</v>
      </c>
      <c r="K1059" s="14" t="str">
        <f>HYPERLINK("http://www.bitmomentum.com","bitMomentum Bot")</f>
        <v>bitMomentum Bot</v>
      </c>
      <c r="L1059" s="13">
        <v>10132</v>
      </c>
      <c r="M1059" s="13">
        <v>1060</v>
      </c>
      <c r="N1059" s="13">
        <v>267</v>
      </c>
      <c r="O1059" s="15"/>
      <c r="P1059" s="6">
        <v>41608.667511574073</v>
      </c>
      <c r="Q1059" s="12"/>
      <c r="R1059" s="17" t="s">
        <v>371</v>
      </c>
      <c r="S1059" s="11" t="s">
        <v>372</v>
      </c>
      <c r="T1059" s="12"/>
      <c r="U1059" s="10" t="str">
        <f>HYPERLINK("https://pbs.twimg.com/profile_images/378800000862185241/20ij2H3u.png","View")</f>
        <v>View</v>
      </c>
    </row>
    <row r="1060" spans="1:21" ht="71.400000000000006">
      <c r="A1060" s="6">
        <v>43420.270798611113</v>
      </c>
      <c r="B1060" s="7" t="str">
        <f>HYPERLINK("https://twitter.com/capitacanavego","@capitacanavego")</f>
        <v>@capitacanavego</v>
      </c>
      <c r="C1060" s="8" t="s">
        <v>3530</v>
      </c>
      <c r="D1060" s="9" t="s">
        <v>3531</v>
      </c>
      <c r="E1060" s="10" t="str">
        <f>HYPERLINK("https://twitter.com/capitacanavego/status/1063303134829834241","1063303134829834241")</f>
        <v>1063303134829834241</v>
      </c>
      <c r="F1060" s="11" t="s">
        <v>3532</v>
      </c>
      <c r="G1060" s="11" t="s">
        <v>3533</v>
      </c>
      <c r="H1060" s="12"/>
      <c r="I1060" s="13">
        <v>0</v>
      </c>
      <c r="J1060" s="13">
        <v>0</v>
      </c>
      <c r="K1060" s="14" t="str">
        <f>HYPERLINK("http://twitter.com","Twitter Web Client")</f>
        <v>Twitter Web Client</v>
      </c>
      <c r="L1060" s="13">
        <v>690</v>
      </c>
      <c r="M1060" s="13">
        <v>2207</v>
      </c>
      <c r="N1060" s="13">
        <v>30</v>
      </c>
      <c r="O1060" s="15"/>
      <c r="P1060" s="6">
        <v>41224.906597222223</v>
      </c>
      <c r="Q1060" s="12"/>
      <c r="R1060" s="17" t="s">
        <v>3534</v>
      </c>
      <c r="S1060" s="11" t="s">
        <v>3535</v>
      </c>
      <c r="T1060" s="12"/>
      <c r="U1060" s="10" t="str">
        <f>HYPERLINK("https://pbs.twimg.com/profile_images/928775026232479744/cSpD0wvo.jpg","View")</f>
        <v>View</v>
      </c>
    </row>
    <row r="1061" spans="1:21" ht="20.399999999999999">
      <c r="A1061" s="6">
        <v>43420.270115740743</v>
      </c>
      <c r="B1061" s="7" t="str">
        <f>HYPERLINK("https://twitter.com/Aprieta_tuercas","@Aprieta_tuercas")</f>
        <v>@Aprieta_tuercas</v>
      </c>
      <c r="C1061" s="8" t="s">
        <v>4317</v>
      </c>
      <c r="D1061" s="9" t="s">
        <v>3908</v>
      </c>
      <c r="E1061" s="10" t="str">
        <f>HYPERLINK("https://twitter.com/Aprieta_tuercas/status/1063302888313765888","1063302888313765888")</f>
        <v>1063302888313765888</v>
      </c>
      <c r="F1061" s="11" t="s">
        <v>2433</v>
      </c>
      <c r="G1061" s="12"/>
      <c r="H1061" s="12"/>
      <c r="I1061" s="13">
        <v>0</v>
      </c>
      <c r="J1061" s="13">
        <v>0</v>
      </c>
      <c r="K1061" s="14" t="str">
        <f>HYPERLINK("http://twitter.com/download/android","Twitter for Android")</f>
        <v>Twitter for Android</v>
      </c>
      <c r="L1061" s="13">
        <v>135</v>
      </c>
      <c r="M1061" s="13">
        <v>173</v>
      </c>
      <c r="N1061" s="13">
        <v>0</v>
      </c>
      <c r="O1061" s="15"/>
      <c r="P1061" s="6">
        <v>41112.489652777775</v>
      </c>
      <c r="Q1061" s="16" t="s">
        <v>66</v>
      </c>
      <c r="R1061" s="17" t="s">
        <v>4320</v>
      </c>
      <c r="S1061" s="12"/>
      <c r="T1061" s="12"/>
      <c r="U1061" s="10" t="str">
        <f>HYPERLINK("https://pbs.twimg.com/profile_images/918727389202534400/5FUjR0E4.jpg","View")</f>
        <v>View</v>
      </c>
    </row>
    <row r="1062" spans="1:21" ht="61.2">
      <c r="A1062" s="6">
        <v>43420.260555555556</v>
      </c>
      <c r="B1062" s="7" t="str">
        <f t="shared" ref="B1062:B1063" si="301">HYPERLINK("https://twitter.com/AldonzaLorenz13","@AldonzaLorenz13")</f>
        <v>@AldonzaLorenz13</v>
      </c>
      <c r="C1062" s="8" t="s">
        <v>1475</v>
      </c>
      <c r="D1062" s="9" t="s">
        <v>3537</v>
      </c>
      <c r="E1062" s="10" t="str">
        <f>HYPERLINK("https://twitter.com/AldonzaLorenz13/status/1063299425362165760","1063299425362165760")</f>
        <v>1063299425362165760</v>
      </c>
      <c r="F1062" s="12"/>
      <c r="G1062" s="11" t="s">
        <v>3538</v>
      </c>
      <c r="H1062" s="12"/>
      <c r="I1062" s="13">
        <v>1</v>
      </c>
      <c r="J1062" s="13">
        <v>1</v>
      </c>
      <c r="K1062" s="14" t="str">
        <f t="shared" ref="K1062:K1064" si="302">HYPERLINK("http://twitter.com/download/iphone","Twitter for iPhone")</f>
        <v>Twitter for iPhone</v>
      </c>
      <c r="L1062" s="13">
        <v>31</v>
      </c>
      <c r="M1062" s="13">
        <v>74</v>
      </c>
      <c r="N1062" s="13">
        <v>0</v>
      </c>
      <c r="O1062" s="15"/>
      <c r="P1062" s="6">
        <v>43344.875173611115</v>
      </c>
      <c r="Q1062" s="16" t="s">
        <v>66</v>
      </c>
      <c r="R1062" s="17" t="s">
        <v>1478</v>
      </c>
      <c r="S1062" s="12"/>
      <c r="T1062" s="12"/>
      <c r="U1062" s="10" t="str">
        <f t="shared" ref="U1062:U1063" si="303">HYPERLINK("https://pbs.twimg.com/profile_images/1054792302152114181/XQbFnblS.jpg","View")</f>
        <v>View</v>
      </c>
    </row>
    <row r="1063" spans="1:21" ht="51">
      <c r="A1063" s="6">
        <v>43420.259143518517</v>
      </c>
      <c r="B1063" s="7" t="str">
        <f t="shared" si="301"/>
        <v>@AldonzaLorenz13</v>
      </c>
      <c r="C1063" s="8" t="s">
        <v>1475</v>
      </c>
      <c r="D1063" s="9" t="s">
        <v>3539</v>
      </c>
      <c r="E1063" s="10" t="str">
        <f>HYPERLINK("https://twitter.com/AldonzaLorenz13/status/1063298913267052544","1063298913267052544")</f>
        <v>1063298913267052544</v>
      </c>
      <c r="F1063" s="12"/>
      <c r="G1063" s="11" t="s">
        <v>3540</v>
      </c>
      <c r="H1063" s="12"/>
      <c r="I1063" s="13">
        <v>1</v>
      </c>
      <c r="J1063" s="13">
        <v>1</v>
      </c>
      <c r="K1063" s="14" t="str">
        <f t="shared" si="302"/>
        <v>Twitter for iPhone</v>
      </c>
      <c r="L1063" s="13">
        <v>31</v>
      </c>
      <c r="M1063" s="13">
        <v>74</v>
      </c>
      <c r="N1063" s="13">
        <v>0</v>
      </c>
      <c r="O1063" s="15"/>
      <c r="P1063" s="6">
        <v>43344.875173611115</v>
      </c>
      <c r="Q1063" s="16" t="s">
        <v>66</v>
      </c>
      <c r="R1063" s="17" t="s">
        <v>1478</v>
      </c>
      <c r="S1063" s="12"/>
      <c r="T1063" s="12"/>
      <c r="U1063" s="10" t="str">
        <f t="shared" si="303"/>
        <v>View</v>
      </c>
    </row>
    <row r="1064" spans="1:21" ht="61.2">
      <c r="A1064" s="6">
        <v>43420.256006944444</v>
      </c>
      <c r="B1064" s="7" t="str">
        <f>HYPERLINK("https://twitter.com/ElDoctorMabuse","@ElDoctorMabuse")</f>
        <v>@ElDoctorMabuse</v>
      </c>
      <c r="C1064" s="8" t="s">
        <v>1122</v>
      </c>
      <c r="D1064" s="9" t="s">
        <v>3541</v>
      </c>
      <c r="E1064" s="10" t="str">
        <f>HYPERLINK("https://twitter.com/ElDoctorMabuse/status/1063297774140166144","1063297774140166144")</f>
        <v>1063297774140166144</v>
      </c>
      <c r="F1064" s="12"/>
      <c r="G1064" s="11" t="s">
        <v>3544</v>
      </c>
      <c r="H1064" s="12"/>
      <c r="I1064" s="13">
        <v>0</v>
      </c>
      <c r="J1064" s="13">
        <v>0</v>
      </c>
      <c r="K1064" s="14" t="str">
        <f t="shared" si="302"/>
        <v>Twitter for iPhone</v>
      </c>
      <c r="L1064" s="13">
        <v>243</v>
      </c>
      <c r="M1064" s="13">
        <v>535</v>
      </c>
      <c r="N1064" s="13">
        <v>11</v>
      </c>
      <c r="O1064" s="15"/>
      <c r="P1064" s="6">
        <v>40273.293067129627</v>
      </c>
      <c r="Q1064" s="16" t="s">
        <v>1126</v>
      </c>
      <c r="R1064" s="17" t="s">
        <v>1127</v>
      </c>
      <c r="S1064" s="11" t="s">
        <v>1128</v>
      </c>
      <c r="T1064" s="12"/>
      <c r="U1064" s="10" t="str">
        <f>HYPERLINK("https://pbs.twimg.com/profile_images/442391428069879808/46XrmQAl.jpeg","View")</f>
        <v>View</v>
      </c>
    </row>
    <row r="1065" spans="1:21" ht="20.399999999999999">
      <c r="A1065" s="6">
        <v>43420.243252314816</v>
      </c>
      <c r="B1065" s="7" t="str">
        <f>HYPERLINK("https://twitter.com/PabloCasaisCob","@PabloCasaisCob")</f>
        <v>@PabloCasaisCob</v>
      </c>
      <c r="C1065" s="8" t="s">
        <v>4335</v>
      </c>
      <c r="D1065" s="9" t="s">
        <v>4336</v>
      </c>
      <c r="E1065" s="10" t="str">
        <f>HYPERLINK("https://twitter.com/PabloCasaisCob/status/1063293152163971073","1063293152163971073")</f>
        <v>1063293152163971073</v>
      </c>
      <c r="F1065" s="11" t="s">
        <v>4339</v>
      </c>
      <c r="G1065" s="12"/>
      <c r="H1065" s="12"/>
      <c r="I1065" s="13">
        <v>0</v>
      </c>
      <c r="J1065" s="13">
        <v>0</v>
      </c>
      <c r="K1065" s="14" t="str">
        <f>HYPERLINK("http://twitter.com","Twitter Web Client")</f>
        <v>Twitter Web Client</v>
      </c>
      <c r="L1065" s="13">
        <v>143</v>
      </c>
      <c r="M1065" s="13">
        <v>299</v>
      </c>
      <c r="N1065" s="13">
        <v>0</v>
      </c>
      <c r="O1065" s="15"/>
      <c r="P1065" s="6">
        <v>40884.907268518517</v>
      </c>
      <c r="Q1065" s="16" t="s">
        <v>4342</v>
      </c>
      <c r="R1065" s="21"/>
      <c r="S1065" s="12"/>
      <c r="T1065" s="12"/>
      <c r="U1065" s="10" t="str">
        <f>HYPERLINK("https://pbs.twimg.com/profile_images/1679652498/6.jpg","View")</f>
        <v>View</v>
      </c>
    </row>
    <row r="1066" spans="1:21" ht="51">
      <c r="A1066" s="6">
        <v>43420.209722222222</v>
      </c>
      <c r="B1066" s="7" t="str">
        <f t="shared" ref="B1066:B1067" si="304">HYPERLINK("https://twitter.com/bitMomentum","@bitMomentum")</f>
        <v>@bitMomentum</v>
      </c>
      <c r="C1066" s="8" t="s">
        <v>368</v>
      </c>
      <c r="D1066" s="9" t="s">
        <v>3549</v>
      </c>
      <c r="E1066" s="10" t="str">
        <f>HYPERLINK("https://twitter.com/bitMomentum/status/1063281001223389184","1063281001223389184")</f>
        <v>1063281001223389184</v>
      </c>
      <c r="F1066" s="12"/>
      <c r="G1066" s="12"/>
      <c r="H1066" s="12"/>
      <c r="I1066" s="13">
        <v>0</v>
      </c>
      <c r="J1066" s="13">
        <v>2</v>
      </c>
      <c r="K1066" s="14" t="str">
        <f t="shared" ref="K1066:K1067" si="305">HYPERLINK("http://www.bitmomentum.com","bitMomentum Bot")</f>
        <v>bitMomentum Bot</v>
      </c>
      <c r="L1066" s="13">
        <v>10132</v>
      </c>
      <c r="M1066" s="13">
        <v>1060</v>
      </c>
      <c r="N1066" s="13">
        <v>267</v>
      </c>
      <c r="O1066" s="15"/>
      <c r="P1066" s="6">
        <v>41608.667511574073</v>
      </c>
      <c r="Q1066" s="12"/>
      <c r="R1066" s="17" t="s">
        <v>371</v>
      </c>
      <c r="S1066" s="11" t="s">
        <v>372</v>
      </c>
      <c r="T1066" s="12"/>
      <c r="U1066" s="10" t="str">
        <f t="shared" ref="U1066:U1067" si="306">HYPERLINK("https://pbs.twimg.com/profile_images/378800000862185241/20ij2H3u.png","View")</f>
        <v>View</v>
      </c>
    </row>
    <row r="1067" spans="1:21" ht="51">
      <c r="A1067" s="6">
        <v>43420.126388888893</v>
      </c>
      <c r="B1067" s="7" t="str">
        <f t="shared" si="304"/>
        <v>@bitMomentum</v>
      </c>
      <c r="C1067" s="8" t="s">
        <v>368</v>
      </c>
      <c r="D1067" s="9" t="s">
        <v>3550</v>
      </c>
      <c r="E1067" s="10" t="str">
        <f>HYPERLINK("https://twitter.com/bitMomentum/status/1063250802347778049","1063250802347778049")</f>
        <v>1063250802347778049</v>
      </c>
      <c r="F1067" s="12"/>
      <c r="G1067" s="12"/>
      <c r="H1067" s="12"/>
      <c r="I1067" s="13">
        <v>0</v>
      </c>
      <c r="J1067" s="13">
        <v>1</v>
      </c>
      <c r="K1067" s="14" t="str">
        <f t="shared" si="305"/>
        <v>bitMomentum Bot</v>
      </c>
      <c r="L1067" s="13">
        <v>10132</v>
      </c>
      <c r="M1067" s="13">
        <v>1060</v>
      </c>
      <c r="N1067" s="13">
        <v>267</v>
      </c>
      <c r="O1067" s="15"/>
      <c r="P1067" s="6">
        <v>41608.667511574073</v>
      </c>
      <c r="Q1067" s="12"/>
      <c r="R1067" s="17" t="s">
        <v>371</v>
      </c>
      <c r="S1067" s="11" t="s">
        <v>372</v>
      </c>
      <c r="T1067" s="12"/>
      <c r="U1067" s="10" t="str">
        <f t="shared" si="306"/>
        <v>View</v>
      </c>
    </row>
    <row r="1068" spans="1:21" ht="30.6">
      <c r="A1068" s="6">
        <v>43420.109340277777</v>
      </c>
      <c r="B1068" s="7" t="str">
        <f t="shared" ref="B1068:B1070" si="307">HYPERLINK("https://twitter.com/winston1955","@winston1955")</f>
        <v>@winston1955</v>
      </c>
      <c r="C1068" s="8" t="s">
        <v>4349</v>
      </c>
      <c r="D1068" s="9" t="s">
        <v>4350</v>
      </c>
      <c r="E1068" s="10" t="str">
        <f>HYPERLINK("https://twitter.com/winston1955/status/1063244624557498373","1063244624557498373")</f>
        <v>1063244624557498373</v>
      </c>
      <c r="F1068" s="11" t="s">
        <v>4351</v>
      </c>
      <c r="G1068" s="12"/>
      <c r="H1068" s="12"/>
      <c r="I1068" s="13">
        <v>1</v>
      </c>
      <c r="J1068" s="13">
        <v>0</v>
      </c>
      <c r="K1068" s="14" t="str">
        <f t="shared" ref="K1068:K1070" si="308">HYPERLINK("http://twitter.com","Twitter Web Client")</f>
        <v>Twitter Web Client</v>
      </c>
      <c r="L1068" s="13">
        <v>791</v>
      </c>
      <c r="M1068" s="13">
        <v>1082</v>
      </c>
      <c r="N1068" s="13">
        <v>21</v>
      </c>
      <c r="O1068" s="15"/>
      <c r="P1068" s="6">
        <v>41933.443912037037</v>
      </c>
      <c r="Q1068" s="12"/>
      <c r="R1068" s="21"/>
      <c r="S1068" s="12"/>
      <c r="T1068" s="12"/>
      <c r="U1068" s="10" t="str">
        <f t="shared" ref="U1068:U1070" si="309">HYPERLINK("https://pbs.twimg.com/profile_images/524482500840546304/WODty3h0.jpeg","View")</f>
        <v>View</v>
      </c>
    </row>
    <row r="1069" spans="1:21" ht="20.399999999999999">
      <c r="A1069" s="6">
        <v>43420.108784722222</v>
      </c>
      <c r="B1069" s="7" t="str">
        <f t="shared" si="307"/>
        <v>@winston1955</v>
      </c>
      <c r="C1069" s="8" t="s">
        <v>4349</v>
      </c>
      <c r="D1069" s="9" t="s">
        <v>4353</v>
      </c>
      <c r="E1069" s="10" t="str">
        <f>HYPERLINK("https://twitter.com/winston1955/status/1063244425210548224","1063244425210548224")</f>
        <v>1063244425210548224</v>
      </c>
      <c r="F1069" s="11" t="s">
        <v>4354</v>
      </c>
      <c r="G1069" s="12"/>
      <c r="H1069" s="12"/>
      <c r="I1069" s="13">
        <v>0</v>
      </c>
      <c r="J1069" s="13">
        <v>0</v>
      </c>
      <c r="K1069" s="14" t="str">
        <f t="shared" si="308"/>
        <v>Twitter Web Client</v>
      </c>
      <c r="L1069" s="13">
        <v>791</v>
      </c>
      <c r="M1069" s="13">
        <v>1082</v>
      </c>
      <c r="N1069" s="13">
        <v>21</v>
      </c>
      <c r="O1069" s="15"/>
      <c r="P1069" s="6">
        <v>41933.443912037037</v>
      </c>
      <c r="Q1069" s="12"/>
      <c r="R1069" s="21"/>
      <c r="S1069" s="12"/>
      <c r="T1069" s="12"/>
      <c r="U1069" s="10" t="str">
        <f t="shared" si="309"/>
        <v>View</v>
      </c>
    </row>
    <row r="1070" spans="1:21" ht="20.399999999999999">
      <c r="A1070" s="6">
        <v>43420.108136574076</v>
      </c>
      <c r="B1070" s="7" t="str">
        <f t="shared" si="307"/>
        <v>@winston1955</v>
      </c>
      <c r="C1070" s="8" t="s">
        <v>4349</v>
      </c>
      <c r="D1070" s="9" t="s">
        <v>2432</v>
      </c>
      <c r="E1070" s="10" t="str">
        <f>HYPERLINK("https://twitter.com/winston1955/status/1063244190103101440","1063244190103101440")</f>
        <v>1063244190103101440</v>
      </c>
      <c r="F1070" s="11" t="s">
        <v>3042</v>
      </c>
      <c r="G1070" s="12"/>
      <c r="H1070" s="12"/>
      <c r="I1070" s="13">
        <v>0</v>
      </c>
      <c r="J1070" s="13">
        <v>0</v>
      </c>
      <c r="K1070" s="14" t="str">
        <f t="shared" si="308"/>
        <v>Twitter Web Client</v>
      </c>
      <c r="L1070" s="13">
        <v>791</v>
      </c>
      <c r="M1070" s="13">
        <v>1082</v>
      </c>
      <c r="N1070" s="13">
        <v>21</v>
      </c>
      <c r="O1070" s="15"/>
      <c r="P1070" s="6">
        <v>41933.443912037037</v>
      </c>
      <c r="Q1070" s="12"/>
      <c r="R1070" s="21"/>
      <c r="S1070" s="12"/>
      <c r="T1070" s="12"/>
      <c r="U1070" s="10" t="str">
        <f t="shared" si="309"/>
        <v>View</v>
      </c>
    </row>
    <row r="1071" spans="1:21" ht="51">
      <c r="A1071" s="6">
        <v>43420.090300925927</v>
      </c>
      <c r="B1071" s="7" t="str">
        <f>HYPERLINK("https://twitter.com/Santi_ABASCAL","@Santi_ABASCAL")</f>
        <v>@Santi_ABASCAL</v>
      </c>
      <c r="C1071" s="8" t="s">
        <v>182</v>
      </c>
      <c r="D1071" s="9" t="s">
        <v>4357</v>
      </c>
      <c r="E1071" s="10" t="str">
        <f>HYPERLINK("https://twitter.com/Santi_ABASCAL/status/1063237725107695616","1063237725107695616")</f>
        <v>1063237725107695616</v>
      </c>
      <c r="F1071" s="12"/>
      <c r="G1071" s="11" t="s">
        <v>3046</v>
      </c>
      <c r="H1071" s="12"/>
      <c r="I1071" s="13">
        <v>1512</v>
      </c>
      <c r="J1071" s="13">
        <v>3024</v>
      </c>
      <c r="K1071" s="14" t="str">
        <f>HYPERLINK("http://twitter.com/download/android","Twitter for Android")</f>
        <v>Twitter for Android</v>
      </c>
      <c r="L1071" s="13">
        <v>117602</v>
      </c>
      <c r="M1071" s="13">
        <v>3896</v>
      </c>
      <c r="N1071" s="13">
        <v>915</v>
      </c>
      <c r="O1071" s="23" t="s">
        <v>186</v>
      </c>
      <c r="P1071" s="6">
        <v>40606.716446759259</v>
      </c>
      <c r="Q1071" s="16" t="s">
        <v>188</v>
      </c>
      <c r="R1071" s="17" t="s">
        <v>189</v>
      </c>
      <c r="S1071" s="11" t="s">
        <v>190</v>
      </c>
      <c r="T1071" s="12"/>
      <c r="U1071" s="10" t="str">
        <f>HYPERLINK("https://pbs.twimg.com/profile_images/1010488787686879232/2CnqYKlD.jpg","View")</f>
        <v>View</v>
      </c>
    </row>
    <row r="1072" spans="1:21" ht="40.799999999999997">
      <c r="A1072" s="6">
        <v>43420.089942129634</v>
      </c>
      <c r="B1072" s="7" t="str">
        <f>HYPERLINK("https://twitter.com/pcaparros","@pcaparros")</f>
        <v>@pcaparros</v>
      </c>
      <c r="C1072" s="8" t="s">
        <v>3056</v>
      </c>
      <c r="D1072" s="9" t="s">
        <v>3527</v>
      </c>
      <c r="E1072" s="10" t="str">
        <f>HYPERLINK("https://twitter.com/pcaparros/status/1063237596472664064","1063237596472664064")</f>
        <v>1063237596472664064</v>
      </c>
      <c r="F1072" s="11" t="s">
        <v>93</v>
      </c>
      <c r="G1072" s="12"/>
      <c r="H1072" s="12"/>
      <c r="I1072" s="13">
        <v>0</v>
      </c>
      <c r="J1072" s="13">
        <v>0</v>
      </c>
      <c r="K1072" s="14" t="str">
        <f>HYPERLINK("http://twitter.com/#!/download/ipad","Twitter for iPad")</f>
        <v>Twitter for iPad</v>
      </c>
      <c r="L1072" s="13">
        <v>400</v>
      </c>
      <c r="M1072" s="13">
        <v>1148</v>
      </c>
      <c r="N1072" s="13">
        <v>2</v>
      </c>
      <c r="O1072" s="15"/>
      <c r="P1072" s="6">
        <v>40232.749166666668</v>
      </c>
      <c r="Q1072" s="12"/>
      <c r="R1072" s="17" t="s">
        <v>3059</v>
      </c>
      <c r="S1072" s="12"/>
      <c r="T1072" s="12"/>
      <c r="U1072" s="10" t="str">
        <f>HYPERLINK("https://pbs.twimg.com/profile_images/1061728435490508801/5oOtPhCz.jpg","View")</f>
        <v>View</v>
      </c>
    </row>
    <row r="1073" spans="1:21" ht="81.599999999999994">
      <c r="A1073" s="6">
        <v>43420.083773148144</v>
      </c>
      <c r="B1073" s="7" t="str">
        <f>HYPERLINK("https://twitter.com/ALD3ANO","@ALD3ANO")</f>
        <v>@ALD3ANO</v>
      </c>
      <c r="C1073" s="8" t="s">
        <v>3551</v>
      </c>
      <c r="D1073" s="9" t="s">
        <v>3552</v>
      </c>
      <c r="E1073" s="10" t="str">
        <f>HYPERLINK("https://twitter.com/ALD3ANO/status/1063235362108178433","1063235362108178433")</f>
        <v>1063235362108178433</v>
      </c>
      <c r="F1073" s="11" t="s">
        <v>3509</v>
      </c>
      <c r="G1073" s="11" t="s">
        <v>2397</v>
      </c>
      <c r="H1073" s="12"/>
      <c r="I1073" s="13">
        <v>0</v>
      </c>
      <c r="J1073" s="13">
        <v>1</v>
      </c>
      <c r="K1073" s="14" t="str">
        <f>HYPERLINK("http://twitter.com","Twitter Web Client")</f>
        <v>Twitter Web Client</v>
      </c>
      <c r="L1073" s="13">
        <v>337</v>
      </c>
      <c r="M1073" s="13">
        <v>1242</v>
      </c>
      <c r="N1073" s="13">
        <v>1</v>
      </c>
      <c r="O1073" s="15"/>
      <c r="P1073" s="6">
        <v>42424.11613425926</v>
      </c>
      <c r="Q1073" s="16" t="s">
        <v>3553</v>
      </c>
      <c r="R1073" s="17" t="s">
        <v>3554</v>
      </c>
      <c r="S1073" s="11" t="s">
        <v>3555</v>
      </c>
      <c r="T1073" s="12"/>
      <c r="U1073" s="10" t="str">
        <f>HYPERLINK("https://pbs.twimg.com/profile_images/1005884468895342593/1YF0uZWG.jpg","View")</f>
        <v>View</v>
      </c>
    </row>
    <row r="1074" spans="1:21" ht="51">
      <c r="A1074" s="6">
        <v>43420.04305555555</v>
      </c>
      <c r="B1074" s="7" t="str">
        <f>HYPERLINK("https://twitter.com/bitMomentum","@bitMomentum")</f>
        <v>@bitMomentum</v>
      </c>
      <c r="C1074" s="8" t="s">
        <v>368</v>
      </c>
      <c r="D1074" s="9" t="s">
        <v>3556</v>
      </c>
      <c r="E1074" s="10" t="str">
        <f>HYPERLINK("https://twitter.com/bitMomentum/status/1063220603191246848","1063220603191246848")</f>
        <v>1063220603191246848</v>
      </c>
      <c r="F1074" s="12"/>
      <c r="G1074" s="12"/>
      <c r="H1074" s="12"/>
      <c r="I1074" s="13">
        <v>0</v>
      </c>
      <c r="J1074" s="13">
        <v>0</v>
      </c>
      <c r="K1074" s="14" t="str">
        <f>HYPERLINK("http://www.bitmomentum.com","bitMomentum Bot")</f>
        <v>bitMomentum Bot</v>
      </c>
      <c r="L1074" s="13">
        <v>10132</v>
      </c>
      <c r="M1074" s="13">
        <v>1060</v>
      </c>
      <c r="N1074" s="13">
        <v>267</v>
      </c>
      <c r="O1074" s="15"/>
      <c r="P1074" s="6">
        <v>41608.667511574073</v>
      </c>
      <c r="Q1074" s="12"/>
      <c r="R1074" s="17" t="s">
        <v>371</v>
      </c>
      <c r="S1074" s="11" t="s">
        <v>372</v>
      </c>
      <c r="T1074" s="12"/>
      <c r="U1074" s="10" t="str">
        <f>HYPERLINK("https://pbs.twimg.com/profile_images/378800000862185241/20ij2H3u.png","View")</f>
        <v>View</v>
      </c>
    </row>
    <row r="1075" spans="1:21" ht="30.6">
      <c r="A1075" s="6">
        <v>43420.042627314819</v>
      </c>
      <c r="B1075" s="7" t="str">
        <f>HYPERLINK("https://twitter.com/mrcambaral","@mrcambaral")</f>
        <v>@mrcambaral</v>
      </c>
      <c r="C1075" s="8" t="s">
        <v>3557</v>
      </c>
      <c r="D1075" s="9" t="s">
        <v>3558</v>
      </c>
      <c r="E1075" s="10" t="str">
        <f>HYPERLINK("https://twitter.com/mrcambaral/status/1063220450598273026","1063220450598273026")</f>
        <v>1063220450598273026</v>
      </c>
      <c r="F1075" s="12"/>
      <c r="G1075" s="12"/>
      <c r="H1075" s="12"/>
      <c r="I1075" s="13">
        <v>0</v>
      </c>
      <c r="J1075" s="13">
        <v>0</v>
      </c>
      <c r="K1075" s="14" t="str">
        <f t="shared" ref="K1075:K1076" si="310">HYPERLINK("http://twitter.com/download/android","Twitter for Android")</f>
        <v>Twitter for Android</v>
      </c>
      <c r="L1075" s="13">
        <v>11</v>
      </c>
      <c r="M1075" s="13">
        <v>27</v>
      </c>
      <c r="N1075" s="13">
        <v>0</v>
      </c>
      <c r="O1075" s="15"/>
      <c r="P1075" s="6">
        <v>39973.91605324074</v>
      </c>
      <c r="Q1075" s="16" t="s">
        <v>3559</v>
      </c>
      <c r="R1075" s="21"/>
      <c r="S1075" s="12"/>
      <c r="T1075" s="12"/>
      <c r="U1075" s="10" t="str">
        <f>HYPERLINK("https://pbs.twimg.com/profile_images/1559805903/image.jpg","View")</f>
        <v>View</v>
      </c>
    </row>
    <row r="1076" spans="1:21" ht="40.799999999999997">
      <c r="A1076" s="6">
        <v>43420.036597222221</v>
      </c>
      <c r="B1076" s="7" t="str">
        <f>HYPERLINK("https://twitter.com/GonzaloAlba2","@GonzaloAlba2")</f>
        <v>@GonzaloAlba2</v>
      </c>
      <c r="C1076" s="8" t="s">
        <v>3560</v>
      </c>
      <c r="D1076" s="9" t="s">
        <v>3561</v>
      </c>
      <c r="E1076" s="10" t="str">
        <f>HYPERLINK("https://twitter.com/GonzaloAlba2/status/1063218262320783360","1063218262320783360")</f>
        <v>1063218262320783360</v>
      </c>
      <c r="F1076" s="12"/>
      <c r="G1076" s="11" t="s">
        <v>3562</v>
      </c>
      <c r="H1076" s="12"/>
      <c r="I1076" s="13">
        <v>0</v>
      </c>
      <c r="J1076" s="13">
        <v>3</v>
      </c>
      <c r="K1076" s="14" t="str">
        <f t="shared" si="310"/>
        <v>Twitter for Android</v>
      </c>
      <c r="L1076" s="13">
        <v>964</v>
      </c>
      <c r="M1076" s="13">
        <v>1692</v>
      </c>
      <c r="N1076" s="13">
        <v>10</v>
      </c>
      <c r="O1076" s="15"/>
      <c r="P1076" s="6">
        <v>41073.534398148149</v>
      </c>
      <c r="Q1076" s="16" t="s">
        <v>34</v>
      </c>
      <c r="R1076" s="17" t="s">
        <v>3563</v>
      </c>
      <c r="S1076" s="11" t="s">
        <v>3564</v>
      </c>
      <c r="T1076" s="12"/>
      <c r="U1076" s="10" t="str">
        <f>HYPERLINK("https://pbs.twimg.com/profile_images/378800000221816154/1f909926f6b529aed56fc23bf8441561.jpeg","View")</f>
        <v>View</v>
      </c>
    </row>
    <row r="1077" spans="1:21" ht="13.2">
      <c r="A1077" s="6">
        <v>43420.03597222222</v>
      </c>
      <c r="B1077" s="7" t="str">
        <f>HYPERLINK("https://twitter.com/rubo082","@rubo082")</f>
        <v>@rubo082</v>
      </c>
      <c r="C1077" s="8" t="s">
        <v>4365</v>
      </c>
      <c r="D1077" s="9" t="s">
        <v>4366</v>
      </c>
      <c r="E1077" s="10" t="str">
        <f>HYPERLINK("https://twitter.com/rubo082/status/1063218036679811074","1063218036679811074")</f>
        <v>1063218036679811074</v>
      </c>
      <c r="F1077" s="12"/>
      <c r="G1077" s="12"/>
      <c r="H1077" s="12"/>
      <c r="I1077" s="13">
        <v>0</v>
      </c>
      <c r="J1077" s="13">
        <v>0</v>
      </c>
      <c r="K1077" s="14" t="str">
        <f t="shared" ref="K1077:K1078" si="311">HYPERLINK("http://twitter.com/download/iphone","Twitter for iPhone")</f>
        <v>Twitter for iPhone</v>
      </c>
      <c r="L1077" s="13">
        <v>90</v>
      </c>
      <c r="M1077" s="13">
        <v>396</v>
      </c>
      <c r="N1077" s="13">
        <v>2</v>
      </c>
      <c r="O1077" s="15"/>
      <c r="P1077" s="6">
        <v>40453.734421296293</v>
      </c>
      <c r="Q1077" s="16" t="s">
        <v>989</v>
      </c>
      <c r="R1077" s="17" t="s">
        <v>4367</v>
      </c>
      <c r="S1077" s="12"/>
      <c r="T1077" s="12"/>
      <c r="U1077" s="10" t="str">
        <f>HYPERLINK("https://pbs.twimg.com/profile_images/1023715009241722881/Us64dOrG.jpg","View")</f>
        <v>View</v>
      </c>
    </row>
    <row r="1078" spans="1:21" ht="91.8">
      <c r="A1078" s="6">
        <v>43420.035011574073</v>
      </c>
      <c r="B1078" s="7" t="str">
        <f>HYPERLINK("https://twitter.com/lcorujos","@lcorujos")</f>
        <v>@lcorujos</v>
      </c>
      <c r="C1078" s="8" t="s">
        <v>3565</v>
      </c>
      <c r="D1078" s="9" t="s">
        <v>3566</v>
      </c>
      <c r="E1078" s="10" t="str">
        <f>HYPERLINK("https://twitter.com/lcorujos/status/1063217688858771459","1063217688858771459")</f>
        <v>1063217688858771459</v>
      </c>
      <c r="F1078" s="11" t="s">
        <v>2396</v>
      </c>
      <c r="G1078" s="11" t="s">
        <v>2397</v>
      </c>
      <c r="H1078" s="12"/>
      <c r="I1078" s="13">
        <v>0</v>
      </c>
      <c r="J1078" s="13">
        <v>0</v>
      </c>
      <c r="K1078" s="14" t="str">
        <f t="shared" si="311"/>
        <v>Twitter for iPhone</v>
      </c>
      <c r="L1078" s="13">
        <v>1236</v>
      </c>
      <c r="M1078" s="13">
        <v>1053</v>
      </c>
      <c r="N1078" s="13">
        <v>6</v>
      </c>
      <c r="O1078" s="15"/>
      <c r="P1078" s="6">
        <v>41420.868113425924</v>
      </c>
      <c r="Q1078" s="16" t="s">
        <v>66</v>
      </c>
      <c r="R1078" s="17" t="s">
        <v>3567</v>
      </c>
      <c r="S1078" s="11" t="s">
        <v>3568</v>
      </c>
      <c r="T1078" s="12"/>
      <c r="U1078" s="10" t="str">
        <f>HYPERLINK("https://pbs.twimg.com/profile_images/1050740905102254081/256uTbTr.jpg","View")</f>
        <v>View</v>
      </c>
    </row>
    <row r="1079" spans="1:21" ht="30.6">
      <c r="A1079" s="6">
        <v>43420.032488425924</v>
      </c>
      <c r="B1079" s="7" t="str">
        <f>HYPERLINK("https://twitter.com/fazuku59","@fazuku59")</f>
        <v>@fazuku59</v>
      </c>
      <c r="C1079" s="8" t="s">
        <v>4371</v>
      </c>
      <c r="D1079" s="9" t="s">
        <v>4372</v>
      </c>
      <c r="E1079" s="10" t="str">
        <f>HYPERLINK("https://twitter.com/fazuku59/status/1063216775544930304","1063216775544930304")</f>
        <v>1063216775544930304</v>
      </c>
      <c r="F1079" s="11" t="s">
        <v>4373</v>
      </c>
      <c r="G1079" s="12"/>
      <c r="H1079" s="12"/>
      <c r="I1079" s="13">
        <v>0</v>
      </c>
      <c r="J1079" s="13">
        <v>0</v>
      </c>
      <c r="K1079" s="14" t="str">
        <f>HYPERLINK("http://twitter.com/download/android","Twitter for Android")</f>
        <v>Twitter for Android</v>
      </c>
      <c r="L1079" s="13">
        <v>1654</v>
      </c>
      <c r="M1079" s="13">
        <v>1688</v>
      </c>
      <c r="N1079" s="13">
        <v>23</v>
      </c>
      <c r="O1079" s="15"/>
      <c r="P1079" s="6">
        <v>40914.05064814815</v>
      </c>
      <c r="Q1079" s="16" t="s">
        <v>188</v>
      </c>
      <c r="R1079" s="17" t="s">
        <v>4376</v>
      </c>
      <c r="S1079" s="12"/>
      <c r="T1079" s="12"/>
      <c r="U1079" s="10" t="str">
        <f>HYPERLINK("https://pbs.twimg.com/profile_images/588371330854219776/IRClGjuh.jpg","View")</f>
        <v>View</v>
      </c>
    </row>
    <row r="1080" spans="1:21" ht="20.399999999999999">
      <c r="A1080" s="6">
        <v>43420.02715277778</v>
      </c>
      <c r="B1080" s="7" t="str">
        <f>HYPERLINK("https://twitter.com/vikuku","@vikuku")</f>
        <v>@vikuku</v>
      </c>
      <c r="C1080" s="8" t="s">
        <v>4130</v>
      </c>
      <c r="D1080" s="9" t="s">
        <v>4377</v>
      </c>
      <c r="E1080" s="10" t="str">
        <f>HYPERLINK("https://twitter.com/vikuku/status/1063214842427916293","1063214842427916293")</f>
        <v>1063214842427916293</v>
      </c>
      <c r="F1080" s="11" t="s">
        <v>4373</v>
      </c>
      <c r="G1080" s="12"/>
      <c r="H1080" s="12"/>
      <c r="I1080" s="13">
        <v>0</v>
      </c>
      <c r="J1080" s="13">
        <v>0</v>
      </c>
      <c r="K1080" s="14" t="str">
        <f>HYPERLINK("http://twitter.com","Twitter Web Client")</f>
        <v>Twitter Web Client</v>
      </c>
      <c r="L1080" s="13">
        <v>476</v>
      </c>
      <c r="M1080" s="13">
        <v>2098</v>
      </c>
      <c r="N1080" s="13">
        <v>15</v>
      </c>
      <c r="O1080" s="15"/>
      <c r="P1080" s="6">
        <v>40068.45521990741</v>
      </c>
      <c r="Q1080" s="12"/>
      <c r="R1080" s="17" t="s">
        <v>4132</v>
      </c>
      <c r="S1080" s="12"/>
      <c r="T1080" s="12"/>
      <c r="U1080" s="10" t="str">
        <f>HYPERLINK("https://pbs.twimg.com/profile_images/1857638127/2031519.jpg","View")</f>
        <v>View</v>
      </c>
    </row>
    <row r="1081" spans="1:21" ht="40.799999999999997">
      <c r="A1081" s="6">
        <v>43420.022395833337</v>
      </c>
      <c r="B1081" s="7" t="str">
        <f>HYPERLINK("https://twitter.com/Ben_Quick_","@Ben_Quick_")</f>
        <v>@Ben_Quick_</v>
      </c>
      <c r="C1081" s="8" t="s">
        <v>2776</v>
      </c>
      <c r="D1081" s="9" t="s">
        <v>3433</v>
      </c>
      <c r="E1081" s="10" t="str">
        <f>HYPERLINK("https://twitter.com/Ben_Quick_/status/1063213116727668741","1063213116727668741")</f>
        <v>1063213116727668741</v>
      </c>
      <c r="F1081" s="12"/>
      <c r="G1081" s="11" t="s">
        <v>3569</v>
      </c>
      <c r="H1081" s="12"/>
      <c r="I1081" s="13">
        <v>0</v>
      </c>
      <c r="J1081" s="13">
        <v>0</v>
      </c>
      <c r="K1081" s="14" t="str">
        <f>HYPERLINK("https://ifttt.com","IFTTT")</f>
        <v>IFTTT</v>
      </c>
      <c r="L1081" s="13">
        <v>3316</v>
      </c>
      <c r="M1081" s="13">
        <v>3333</v>
      </c>
      <c r="N1081" s="13">
        <v>8</v>
      </c>
      <c r="O1081" s="15"/>
      <c r="P1081" s="6">
        <v>43009.054664351846</v>
      </c>
      <c r="Q1081" s="16" t="s">
        <v>378</v>
      </c>
      <c r="R1081" s="17" t="s">
        <v>2780</v>
      </c>
      <c r="S1081" s="12"/>
      <c r="T1081" s="12"/>
      <c r="U1081" s="10" t="str">
        <f>HYPERLINK("https://pbs.twimg.com/profile_images/914270747845173248/2weEqrIZ.jpg","View")</f>
        <v>View</v>
      </c>
    </row>
    <row r="1082" spans="1:21" ht="61.2">
      <c r="A1082" s="6">
        <v>43420.021504629629</v>
      </c>
      <c r="B1082" s="7" t="str">
        <f>HYPERLINK("https://twitter.com/MariaTabarnia","@MariaTabarnia")</f>
        <v>@MariaTabarnia</v>
      </c>
      <c r="C1082" s="8" t="s">
        <v>2758</v>
      </c>
      <c r="D1082" s="9" t="s">
        <v>3570</v>
      </c>
      <c r="E1082" s="10" t="str">
        <f>HYPERLINK("https://twitter.com/MariaTabarnia/status/1063212794617782272","1063212794617782272")</f>
        <v>1063212794617782272</v>
      </c>
      <c r="F1082" s="12"/>
      <c r="G1082" s="11" t="s">
        <v>3571</v>
      </c>
      <c r="H1082" s="12"/>
      <c r="I1082" s="13">
        <v>12</v>
      </c>
      <c r="J1082" s="13">
        <v>11</v>
      </c>
      <c r="K1082" s="14" t="str">
        <f>HYPERLINK("http://twitter.com/#!/download/ipad","Twitter for iPad")</f>
        <v>Twitter for iPad</v>
      </c>
      <c r="L1082" s="13">
        <v>11497</v>
      </c>
      <c r="M1082" s="13">
        <v>12426</v>
      </c>
      <c r="N1082" s="13">
        <v>52</v>
      </c>
      <c r="O1082" s="15"/>
      <c r="P1082" s="6">
        <v>41424.855567129627</v>
      </c>
      <c r="Q1082" s="16" t="s">
        <v>2762</v>
      </c>
      <c r="R1082" s="17" t="s">
        <v>2763</v>
      </c>
      <c r="S1082" s="12"/>
      <c r="T1082" s="12"/>
      <c r="U1082" s="10" t="str">
        <f>HYPERLINK("https://pbs.twimg.com/profile_images/906661884199391232/L9xcUYsf.jpg","View")</f>
        <v>View</v>
      </c>
    </row>
    <row r="1083" spans="1:21" ht="71.400000000000006">
      <c r="A1083" s="6">
        <v>43420.019097222219</v>
      </c>
      <c r="B1083" s="7" t="str">
        <f>HYPERLINK("https://twitter.com/SoyTrono","@SoyTrono")</f>
        <v>@SoyTrono</v>
      </c>
      <c r="C1083" s="8" t="s">
        <v>3572</v>
      </c>
      <c r="D1083" s="9" t="s">
        <v>3573</v>
      </c>
      <c r="E1083" s="10" t="str">
        <f>HYPERLINK("https://twitter.com/SoyTrono/status/1063211922399657984","1063211922399657984")</f>
        <v>1063211922399657984</v>
      </c>
      <c r="F1083" s="11" t="s">
        <v>3574</v>
      </c>
      <c r="G1083" s="11" t="s">
        <v>3575</v>
      </c>
      <c r="H1083" s="12"/>
      <c r="I1083" s="13">
        <v>0</v>
      </c>
      <c r="J1083" s="13">
        <v>0</v>
      </c>
      <c r="K1083" s="14" t="str">
        <f t="shared" ref="K1083:K1084" si="312">HYPERLINK("http://twitter.com/download/android","Twitter for Android")</f>
        <v>Twitter for Android</v>
      </c>
      <c r="L1083" s="13">
        <v>260</v>
      </c>
      <c r="M1083" s="13">
        <v>340</v>
      </c>
      <c r="N1083" s="13">
        <v>0</v>
      </c>
      <c r="O1083" s="15"/>
      <c r="P1083" s="6">
        <v>43254.052627314813</v>
      </c>
      <c r="Q1083" s="16" t="s">
        <v>3576</v>
      </c>
      <c r="R1083" s="17" t="s">
        <v>3577</v>
      </c>
      <c r="S1083" s="12"/>
      <c r="T1083" s="12"/>
      <c r="U1083" s="10" t="str">
        <f>HYPERLINK("https://pbs.twimg.com/profile_images/1014268587496951810/JEeLs8nW.jpg","View")</f>
        <v>View</v>
      </c>
    </row>
    <row r="1084" spans="1:21" ht="61.2">
      <c r="A1084" s="6">
        <v>43420.017835648148</v>
      </c>
      <c r="B1084" s="7" t="str">
        <f>HYPERLINK("https://twitter.com/Mariomerengue","@Mariomerengue")</f>
        <v>@Mariomerengue</v>
      </c>
      <c r="C1084" s="8" t="s">
        <v>3578</v>
      </c>
      <c r="D1084" s="9" t="s">
        <v>3579</v>
      </c>
      <c r="E1084" s="10" t="str">
        <f>HYPERLINK("https://twitter.com/Mariomerengue/status/1063211466797580288","1063211466797580288")</f>
        <v>1063211466797580288</v>
      </c>
      <c r="F1084" s="12"/>
      <c r="G1084" s="12"/>
      <c r="H1084" s="12"/>
      <c r="I1084" s="13">
        <v>0</v>
      </c>
      <c r="J1084" s="13">
        <v>1</v>
      </c>
      <c r="K1084" s="14" t="str">
        <f t="shared" si="312"/>
        <v>Twitter for Android</v>
      </c>
      <c r="L1084" s="13">
        <v>89</v>
      </c>
      <c r="M1084" s="13">
        <v>177</v>
      </c>
      <c r="N1084" s="13">
        <v>2</v>
      </c>
      <c r="O1084" s="15"/>
      <c r="P1084" s="6">
        <v>40939.629791666666</v>
      </c>
      <c r="Q1084" s="12"/>
      <c r="R1084" s="21"/>
      <c r="S1084" s="12"/>
      <c r="T1084" s="12"/>
      <c r="U1084" s="10" t="str">
        <f>HYPERLINK("https://pbs.twimg.com/profile_images/1016092727518400512/mWSqhOPy.jpg","View")</f>
        <v>View</v>
      </c>
    </row>
    <row r="1085" spans="1:21" ht="91.8">
      <c r="A1085" s="6">
        <v>43420.012546296297</v>
      </c>
      <c r="B1085" s="7" t="str">
        <f>HYPERLINK("https://twitter.com/AntonioElNolo","@AntonioElNolo")</f>
        <v>@AntonioElNolo</v>
      </c>
      <c r="C1085" s="8" t="s">
        <v>3580</v>
      </c>
      <c r="D1085" s="9" t="s">
        <v>3581</v>
      </c>
      <c r="E1085" s="10" t="str">
        <f>HYPERLINK("https://twitter.com/AntonioElNolo/status/1063209547890855936","1063209547890855936")</f>
        <v>1063209547890855936</v>
      </c>
      <c r="F1085" s="11" t="s">
        <v>2396</v>
      </c>
      <c r="G1085" s="11" t="s">
        <v>2397</v>
      </c>
      <c r="H1085" s="12"/>
      <c r="I1085" s="13">
        <v>1</v>
      </c>
      <c r="J1085" s="13">
        <v>0</v>
      </c>
      <c r="K1085" s="14" t="str">
        <f>HYPERLINK("http://twitter.com/download/iphone","Twitter for iPhone")</f>
        <v>Twitter for iPhone</v>
      </c>
      <c r="L1085" s="13">
        <v>255</v>
      </c>
      <c r="M1085" s="13">
        <v>900</v>
      </c>
      <c r="N1085" s="13">
        <v>4</v>
      </c>
      <c r="O1085" s="15"/>
      <c r="P1085" s="6">
        <v>41142.799710648149</v>
      </c>
      <c r="Q1085" s="12"/>
      <c r="R1085" s="17" t="s">
        <v>3582</v>
      </c>
      <c r="S1085" s="12"/>
      <c r="T1085" s="12"/>
      <c r="U1085" s="10" t="str">
        <f>HYPERLINK("https://pbs.twimg.com/profile_images/378800000483493337/a9fb69f50bdf0912099498c4c86bcb08.jpeg","View")</f>
        <v>View</v>
      </c>
    </row>
    <row r="1086" spans="1:21" ht="51">
      <c r="A1086" s="6">
        <v>43420.001388888893</v>
      </c>
      <c r="B1086" s="7" t="str">
        <f>HYPERLINK("https://twitter.com/bitMomentum","@bitMomentum")</f>
        <v>@bitMomentum</v>
      </c>
      <c r="C1086" s="8" t="s">
        <v>368</v>
      </c>
      <c r="D1086" s="9" t="s">
        <v>3583</v>
      </c>
      <c r="E1086" s="10" t="str">
        <f>HYPERLINK("https://twitter.com/bitMomentum/status/1063205503973638146","1063205503973638146")</f>
        <v>1063205503973638146</v>
      </c>
      <c r="F1086" s="12"/>
      <c r="G1086" s="12"/>
      <c r="H1086" s="12"/>
      <c r="I1086" s="13">
        <v>0</v>
      </c>
      <c r="J1086" s="13">
        <v>0</v>
      </c>
      <c r="K1086" s="14" t="str">
        <f>HYPERLINK("http://www.bitmomentum.com","bitMomentum Bot")</f>
        <v>bitMomentum Bot</v>
      </c>
      <c r="L1086" s="13">
        <v>10132</v>
      </c>
      <c r="M1086" s="13">
        <v>1060</v>
      </c>
      <c r="N1086" s="13">
        <v>267</v>
      </c>
      <c r="O1086" s="15"/>
      <c r="P1086" s="6">
        <v>41608.667511574073</v>
      </c>
      <c r="Q1086" s="12"/>
      <c r="R1086" s="17" t="s">
        <v>371</v>
      </c>
      <c r="S1086" s="11" t="s">
        <v>372</v>
      </c>
      <c r="T1086" s="12"/>
      <c r="U1086" s="10" t="str">
        <f>HYPERLINK("https://pbs.twimg.com/profile_images/378800000862185241/20ij2H3u.png","View")</f>
        <v>View</v>
      </c>
    </row>
    <row r="1087" spans="1:21" ht="81.599999999999994">
      <c r="A1087" s="6">
        <v>43419.998877314814</v>
      </c>
      <c r="B1087" s="7" t="str">
        <f>HYPERLINK("https://twitter.com/JPGarcia69","@JPGarcia69")</f>
        <v>@JPGarcia69</v>
      </c>
      <c r="C1087" s="8" t="s">
        <v>3585</v>
      </c>
      <c r="D1087" s="9" t="s">
        <v>3586</v>
      </c>
      <c r="E1087" s="10" t="str">
        <f>HYPERLINK("https://twitter.com/JPGarcia69/status/1063204597085425670","1063204597085425670")</f>
        <v>1063204597085425670</v>
      </c>
      <c r="F1087" s="11" t="s">
        <v>3587</v>
      </c>
      <c r="G1087" s="11" t="s">
        <v>3588</v>
      </c>
      <c r="H1087" s="12"/>
      <c r="I1087" s="13">
        <v>0</v>
      </c>
      <c r="J1087" s="13">
        <v>0</v>
      </c>
      <c r="K1087" s="14" t="str">
        <f t="shared" ref="K1087:K1089" si="313">HYPERLINK("http://twitter.com/download/android","Twitter for Android")</f>
        <v>Twitter for Android</v>
      </c>
      <c r="L1087" s="13">
        <v>573</v>
      </c>
      <c r="M1087" s="13">
        <v>1026</v>
      </c>
      <c r="N1087" s="13">
        <v>10</v>
      </c>
      <c r="O1087" s="15"/>
      <c r="P1087" s="6">
        <v>40587.032395833332</v>
      </c>
      <c r="Q1087" s="16" t="s">
        <v>644</v>
      </c>
      <c r="R1087" s="17" t="s">
        <v>3589</v>
      </c>
      <c r="S1087" s="12"/>
      <c r="T1087" s="12"/>
      <c r="U1087" s="10" t="str">
        <f>HYPERLINK("https://pbs.twimg.com/profile_images/1019274882864107520/62Ge2oWu.jpg","View")</f>
        <v>View</v>
      </c>
    </row>
    <row r="1088" spans="1:21" ht="51">
      <c r="A1088" s="6">
        <v>43419.99795138889</v>
      </c>
      <c r="B1088" s="7" t="str">
        <f>HYPERLINK("https://twitter.com/JesusLRego","@JesusLRego")</f>
        <v>@JesusLRego</v>
      </c>
      <c r="C1088" s="8" t="s">
        <v>4397</v>
      </c>
      <c r="D1088" s="9" t="s">
        <v>4398</v>
      </c>
      <c r="E1088" s="10" t="str">
        <f>HYPERLINK("https://twitter.com/JesusLRego/status/1063204258038861824","1063204258038861824")</f>
        <v>1063204258038861824</v>
      </c>
      <c r="F1088" s="12"/>
      <c r="G1088" s="12"/>
      <c r="H1088" s="12"/>
      <c r="I1088" s="13">
        <v>0</v>
      </c>
      <c r="J1088" s="13">
        <v>4</v>
      </c>
      <c r="K1088" s="14" t="str">
        <f t="shared" si="313"/>
        <v>Twitter for Android</v>
      </c>
      <c r="L1088" s="13">
        <v>56</v>
      </c>
      <c r="M1088" s="13">
        <v>130</v>
      </c>
      <c r="N1088" s="13">
        <v>1</v>
      </c>
      <c r="O1088" s="15"/>
      <c r="P1088" s="6">
        <v>43023.191689814819</v>
      </c>
      <c r="Q1088" s="16" t="s">
        <v>263</v>
      </c>
      <c r="R1088" s="17" t="s">
        <v>4400</v>
      </c>
      <c r="S1088" s="11" t="s">
        <v>4401</v>
      </c>
      <c r="T1088" s="12"/>
      <c r="U1088" s="10" t="str">
        <f>HYPERLINK("https://pbs.twimg.com/profile_images/1003612108297326592/fRyJVygM.jpg","View")</f>
        <v>View</v>
      </c>
    </row>
    <row r="1089" spans="1:21" ht="40.799999999999997">
      <c r="A1089" s="6">
        <v>43419.994571759264</v>
      </c>
      <c r="B1089" s="7" t="str">
        <f>HYPERLINK("https://twitter.com/lunadebenidorm","@lunadebenidorm")</f>
        <v>@lunadebenidorm</v>
      </c>
      <c r="C1089" s="8" t="s">
        <v>106</v>
      </c>
      <c r="D1089" s="9" t="s">
        <v>3590</v>
      </c>
      <c r="E1089" s="10" t="str">
        <f>HYPERLINK("https://twitter.com/lunadebenidorm/status/1063203034984009729","1063203034984009729")</f>
        <v>1063203034984009729</v>
      </c>
      <c r="F1089" s="16" t="s">
        <v>3591</v>
      </c>
      <c r="G1089" s="12"/>
      <c r="H1089" s="12"/>
      <c r="I1089" s="13">
        <v>0</v>
      </c>
      <c r="J1089" s="13">
        <v>0</v>
      </c>
      <c r="K1089" s="14" t="str">
        <f t="shared" si="313"/>
        <v>Twitter for Android</v>
      </c>
      <c r="L1089" s="13">
        <v>3991</v>
      </c>
      <c r="M1089" s="13">
        <v>3978</v>
      </c>
      <c r="N1089" s="13">
        <v>79</v>
      </c>
      <c r="O1089" s="15"/>
      <c r="P1089" s="6">
        <v>41461.81186342593</v>
      </c>
      <c r="Q1089" s="12"/>
      <c r="R1089" s="17" t="s">
        <v>108</v>
      </c>
      <c r="S1089" s="12"/>
      <c r="T1089" s="12"/>
      <c r="U1089" s="10" t="str">
        <f>HYPERLINK("https://pbs.twimg.com/profile_images/1061229593758257153/rePCQt08.jpg","View")</f>
        <v>View</v>
      </c>
    </row>
    <row r="1090" spans="1:21" ht="40.799999999999997">
      <c r="A1090" s="6">
        <v>43419.990983796291</v>
      </c>
      <c r="B1090" s="7" t="str">
        <f>HYPERLINK("https://twitter.com/raulLR98","@raulLR98")</f>
        <v>@raulLR98</v>
      </c>
      <c r="C1090" s="8" t="s">
        <v>4404</v>
      </c>
      <c r="D1090" s="9" t="s">
        <v>4405</v>
      </c>
      <c r="E1090" s="10" t="str">
        <f>HYPERLINK("https://twitter.com/raulLR98/status/1063201733927739392","1063201733927739392")</f>
        <v>1063201733927739392</v>
      </c>
      <c r="F1090" s="12"/>
      <c r="G1090" s="12"/>
      <c r="H1090" s="12"/>
      <c r="I1090" s="13">
        <v>0</v>
      </c>
      <c r="J1090" s="13">
        <v>2</v>
      </c>
      <c r="K1090" s="14" t="str">
        <f>HYPERLINK("http://twitter.com/download/iphone","Twitter for iPhone")</f>
        <v>Twitter for iPhone</v>
      </c>
      <c r="L1090" s="13">
        <v>138</v>
      </c>
      <c r="M1090" s="13">
        <v>218</v>
      </c>
      <c r="N1090" s="13">
        <v>0</v>
      </c>
      <c r="O1090" s="15"/>
      <c r="P1090" s="6">
        <v>42061.786678240736</v>
      </c>
      <c r="Q1090" s="16" t="s">
        <v>4407</v>
      </c>
      <c r="R1090" s="17" t="s">
        <v>4408</v>
      </c>
      <c r="S1090" s="12"/>
      <c r="T1090" s="12"/>
      <c r="U1090" s="10" t="str">
        <f>HYPERLINK("https://pbs.twimg.com/profile_images/952100403071549441/nzdlVaMp.jpg","View")</f>
        <v>View</v>
      </c>
    </row>
    <row r="1091" spans="1:21" ht="20.399999999999999">
      <c r="A1091" s="6">
        <v>43419.983518518522</v>
      </c>
      <c r="B1091" s="7" t="str">
        <f>HYPERLINK("https://twitter.com/Juliof_Artillo","@Juliof_Artillo")</f>
        <v>@Juliof_Artillo</v>
      </c>
      <c r="C1091" s="8" t="s">
        <v>4409</v>
      </c>
      <c r="D1091" s="9" t="s">
        <v>3908</v>
      </c>
      <c r="E1091" s="10" t="str">
        <f>HYPERLINK("https://twitter.com/Juliof_Artillo/status/1063199027179728897","1063199027179728897")</f>
        <v>1063199027179728897</v>
      </c>
      <c r="F1091" s="11" t="s">
        <v>2433</v>
      </c>
      <c r="G1091" s="12"/>
      <c r="H1091" s="12"/>
      <c r="I1091" s="13">
        <v>0</v>
      </c>
      <c r="J1091" s="13">
        <v>0</v>
      </c>
      <c r="K1091" s="14" t="str">
        <f t="shared" ref="K1091:K1092" si="314">HYPERLINK("http://twitter.com/download/android","Twitter for Android")</f>
        <v>Twitter for Android</v>
      </c>
      <c r="L1091" s="13">
        <v>655</v>
      </c>
      <c r="M1091" s="13">
        <v>2817</v>
      </c>
      <c r="N1091" s="13">
        <v>1</v>
      </c>
      <c r="O1091" s="15"/>
      <c r="P1091" s="6">
        <v>43016.672465277778</v>
      </c>
      <c r="Q1091" s="16" t="s">
        <v>1810</v>
      </c>
      <c r="R1091" s="17" t="s">
        <v>4411</v>
      </c>
      <c r="S1091" s="12"/>
      <c r="T1091" s="12"/>
      <c r="U1091" s="10" t="str">
        <f>HYPERLINK("https://pbs.twimg.com/profile_images/917253484382171136/HCPoVqkz.jpg","View")</f>
        <v>View</v>
      </c>
    </row>
    <row r="1092" spans="1:21" ht="71.400000000000006">
      <c r="A1092" s="6">
        <v>43419.978391203702</v>
      </c>
      <c r="B1092" s="7" t="str">
        <f>HYPERLINK("https://twitter.com/JBGarridoF1","@JBGarridoF1")</f>
        <v>@JBGarridoF1</v>
      </c>
      <c r="C1092" s="8" t="s">
        <v>1776</v>
      </c>
      <c r="D1092" s="9" t="s">
        <v>3594</v>
      </c>
      <c r="E1092" s="10" t="str">
        <f>HYPERLINK("https://twitter.com/JBGarridoF1/status/1063197169895841793","1063197169895841793")</f>
        <v>1063197169895841793</v>
      </c>
      <c r="F1092" s="11" t="s">
        <v>3515</v>
      </c>
      <c r="G1092" s="11" t="s">
        <v>3516</v>
      </c>
      <c r="H1092" s="12"/>
      <c r="I1092" s="13">
        <v>2</v>
      </c>
      <c r="J1092" s="13">
        <v>2</v>
      </c>
      <c r="K1092" s="14" t="str">
        <f t="shared" si="314"/>
        <v>Twitter for Android</v>
      </c>
      <c r="L1092" s="13">
        <v>528</v>
      </c>
      <c r="M1092" s="13">
        <v>1007</v>
      </c>
      <c r="N1092" s="13">
        <v>37</v>
      </c>
      <c r="O1092" s="15"/>
      <c r="P1092" s="6">
        <v>40942.896006944444</v>
      </c>
      <c r="Q1092" s="16" t="s">
        <v>1779</v>
      </c>
      <c r="R1092" s="17" t="s">
        <v>1780</v>
      </c>
      <c r="S1092" s="12"/>
      <c r="T1092" s="12"/>
      <c r="U1092" s="10" t="str">
        <f>HYPERLINK("https://pbs.twimg.com/profile_images/1010142266529378304/6-M8qYgz.jpg","View")</f>
        <v>View</v>
      </c>
    </row>
    <row r="1093" spans="1:21" ht="30.6">
      <c r="A1093" s="6">
        <v>43419.97383101852</v>
      </c>
      <c r="B1093" s="7" t="str">
        <f>HYPERLINK("https://twitter.com/mellamoae","@mellamoae")</f>
        <v>@mellamoae</v>
      </c>
      <c r="C1093" s="8" t="s">
        <v>4419</v>
      </c>
      <c r="D1093" s="9" t="s">
        <v>4420</v>
      </c>
      <c r="E1093" s="10" t="str">
        <f>HYPERLINK("https://twitter.com/mellamoae/status/1063195516538970113","1063195516538970113")</f>
        <v>1063195516538970113</v>
      </c>
      <c r="F1093" s="12"/>
      <c r="G1093" s="12"/>
      <c r="H1093" s="12"/>
      <c r="I1093" s="13">
        <v>0</v>
      </c>
      <c r="J1093" s="13">
        <v>0</v>
      </c>
      <c r="K1093" s="14" t="str">
        <f>HYPERLINK("https://mobile.twitter.com","Twitter Lite")</f>
        <v>Twitter Lite</v>
      </c>
      <c r="L1093" s="13">
        <v>432</v>
      </c>
      <c r="M1093" s="13">
        <v>81</v>
      </c>
      <c r="N1093" s="13">
        <v>1</v>
      </c>
      <c r="O1093" s="15"/>
      <c r="P1093" s="6">
        <v>40463.687372685185</v>
      </c>
      <c r="Q1093" s="16" t="s">
        <v>4423</v>
      </c>
      <c r="R1093" s="17" t="s">
        <v>4424</v>
      </c>
      <c r="S1093" s="11" t="s">
        <v>4425</v>
      </c>
      <c r="T1093" s="12"/>
      <c r="U1093" s="10" t="str">
        <f>HYPERLINK("https://pbs.twimg.com/profile_images/1047497028899692544/E6CORlkZ.jpg","View")</f>
        <v>View</v>
      </c>
    </row>
    <row r="1094" spans="1:21" ht="112.2">
      <c r="A1094" s="6">
        <v>43419.973726851851</v>
      </c>
      <c r="B1094" s="7" t="str">
        <f>HYPERLINK("https://twitter.com/mangelalvami","@mangelalvami")</f>
        <v>@mangelalvami</v>
      </c>
      <c r="C1094" s="8" t="s">
        <v>3595</v>
      </c>
      <c r="D1094" s="9" t="s">
        <v>3596</v>
      </c>
      <c r="E1094" s="10" t="str">
        <f>HYPERLINK("https://twitter.com/mangelalvami/status/1063195479373168640","1063195479373168640")</f>
        <v>1063195479373168640</v>
      </c>
      <c r="F1094" s="16" t="s">
        <v>3597</v>
      </c>
      <c r="G1094" s="12"/>
      <c r="H1094" s="12"/>
      <c r="I1094" s="13">
        <v>0</v>
      </c>
      <c r="J1094" s="13">
        <v>2</v>
      </c>
      <c r="K1094" s="14" t="str">
        <f>HYPERLINK("http://twitter.com/download/android","Twitter for Android")</f>
        <v>Twitter for Android</v>
      </c>
      <c r="L1094" s="13">
        <v>1203</v>
      </c>
      <c r="M1094" s="13">
        <v>3062</v>
      </c>
      <c r="N1094" s="13">
        <v>7</v>
      </c>
      <c r="O1094" s="15"/>
      <c r="P1094" s="6">
        <v>41189.999930555554</v>
      </c>
      <c r="Q1094" s="12"/>
      <c r="R1094" s="17" t="s">
        <v>3598</v>
      </c>
      <c r="S1094" s="12"/>
      <c r="T1094" s="12"/>
      <c r="U1094" s="10" t="str">
        <f>HYPERLINK("https://pbs.twimg.com/profile_images/1058664958580396032/o1mj39hL.jpg","View")</f>
        <v>View</v>
      </c>
    </row>
    <row r="1095" spans="1:21" ht="20.399999999999999">
      <c r="A1095" s="6">
        <v>43419.972546296296</v>
      </c>
      <c r="B1095" s="7" t="str">
        <f>HYPERLINK("https://twitter.com/Cucosolitario1","@Cucosolitario1")</f>
        <v>@Cucosolitario1</v>
      </c>
      <c r="C1095" s="8" t="s">
        <v>4429</v>
      </c>
      <c r="D1095" s="9" t="s">
        <v>4430</v>
      </c>
      <c r="E1095" s="10" t="str">
        <f>HYPERLINK("https://twitter.com/Cucosolitario1/status/1063195051986231297","1063195051986231297")</f>
        <v>1063195051986231297</v>
      </c>
      <c r="F1095" s="11" t="s">
        <v>4432</v>
      </c>
      <c r="G1095" s="12"/>
      <c r="H1095" s="12"/>
      <c r="I1095" s="13">
        <v>0</v>
      </c>
      <c r="J1095" s="13">
        <v>0</v>
      </c>
      <c r="K1095" s="14" t="str">
        <f t="shared" ref="K1095:K1096" si="315">HYPERLINK("http://twitter.com/#!/download/ipad","Twitter for iPad")</f>
        <v>Twitter for iPad</v>
      </c>
      <c r="L1095" s="13">
        <v>2</v>
      </c>
      <c r="M1095" s="13">
        <v>98</v>
      </c>
      <c r="N1095" s="13">
        <v>0</v>
      </c>
      <c r="O1095" s="15"/>
      <c r="P1095" s="6">
        <v>42987.749224537038</v>
      </c>
      <c r="Q1095" s="12"/>
      <c r="R1095" s="17" t="s">
        <v>4435</v>
      </c>
      <c r="S1095" s="12"/>
      <c r="T1095" s="12"/>
      <c r="U1095" s="10" t="str">
        <f>HYPERLINK("https://pbs.twimg.com/profile_images/1056279471307788288/ehsuyfoX.jpg","View")</f>
        <v>View</v>
      </c>
    </row>
    <row r="1096" spans="1:21" ht="20.399999999999999">
      <c r="A1096" s="6">
        <v>43419.972048611111</v>
      </c>
      <c r="B1096" s="7" t="str">
        <f>HYPERLINK("https://twitter.com/beatrizfriasv","@beatrizfriasv")</f>
        <v>@beatrizfriasv</v>
      </c>
      <c r="C1096" s="8" t="s">
        <v>3529</v>
      </c>
      <c r="D1096" s="9" t="s">
        <v>4437</v>
      </c>
      <c r="E1096" s="10" t="str">
        <f>HYPERLINK("https://twitter.com/beatrizfriasv/status/1063194873732481024","1063194873732481024")</f>
        <v>1063194873732481024</v>
      </c>
      <c r="F1096" s="11" t="s">
        <v>3042</v>
      </c>
      <c r="G1096" s="12"/>
      <c r="H1096" s="12"/>
      <c r="I1096" s="13">
        <v>0</v>
      </c>
      <c r="J1096" s="13">
        <v>0</v>
      </c>
      <c r="K1096" s="14" t="str">
        <f t="shared" si="315"/>
        <v>Twitter for iPad</v>
      </c>
      <c r="L1096" s="13">
        <v>384</v>
      </c>
      <c r="M1096" s="13">
        <v>569</v>
      </c>
      <c r="N1096" s="13">
        <v>15</v>
      </c>
      <c r="O1096" s="15"/>
      <c r="P1096" s="6">
        <v>40902.978437500002</v>
      </c>
      <c r="Q1096" s="16" t="s">
        <v>3536</v>
      </c>
      <c r="R1096" s="21"/>
      <c r="S1096" s="12"/>
      <c r="T1096" s="12"/>
      <c r="U1096" s="10" t="str">
        <f>HYPERLINK("https://pbs.twimg.com/profile_images/673276735497052160/PxTOqZS1.jpg","View")</f>
        <v>View</v>
      </c>
    </row>
    <row r="1097" spans="1:21" ht="51">
      <c r="A1097" s="6">
        <v>43419.965057870373</v>
      </c>
      <c r="B1097" s="7" t="str">
        <f>HYPERLINK("https://twitter.com/cukecito","@cukecito")</f>
        <v>@cukecito</v>
      </c>
      <c r="C1097" s="8" t="s">
        <v>3599</v>
      </c>
      <c r="D1097" s="9" t="s">
        <v>3600</v>
      </c>
      <c r="E1097" s="10" t="str">
        <f>HYPERLINK("https://twitter.com/cukecito/status/1063192341366870016","1063192341366870016")</f>
        <v>1063192341366870016</v>
      </c>
      <c r="F1097" s="11" t="s">
        <v>3420</v>
      </c>
      <c r="G1097" s="12"/>
      <c r="H1097" s="12"/>
      <c r="I1097" s="13">
        <v>0</v>
      </c>
      <c r="J1097" s="13">
        <v>1</v>
      </c>
      <c r="K1097" s="14" t="str">
        <f t="shared" ref="K1097:K1098" si="316">HYPERLINK("http://twitter.com/download/android","Twitter for Android")</f>
        <v>Twitter for Android</v>
      </c>
      <c r="L1097" s="13">
        <v>55</v>
      </c>
      <c r="M1097" s="13">
        <v>105</v>
      </c>
      <c r="N1097" s="13">
        <v>1</v>
      </c>
      <c r="O1097" s="15"/>
      <c r="P1097" s="6">
        <v>40583.571655092594</v>
      </c>
      <c r="Q1097" s="16" t="s">
        <v>3601</v>
      </c>
      <c r="R1097" s="17" t="s">
        <v>3602</v>
      </c>
      <c r="S1097" s="11" t="s">
        <v>3603</v>
      </c>
      <c r="T1097" s="12"/>
      <c r="U1097" s="10" t="str">
        <f>HYPERLINK("https://pbs.twimg.com/profile_images/1240221594/cuke2.jpg","View")</f>
        <v>View</v>
      </c>
    </row>
    <row r="1098" spans="1:21" ht="40.799999999999997">
      <c r="A1098" s="6">
        <v>43419.963020833333</v>
      </c>
      <c r="B1098" s="7" t="str">
        <f>HYPERLINK("https://twitter.com/Emi1969","@Emi1969")</f>
        <v>@Emi1969</v>
      </c>
      <c r="C1098" s="8" t="s">
        <v>4443</v>
      </c>
      <c r="D1098" s="9" t="s">
        <v>3908</v>
      </c>
      <c r="E1098" s="10" t="str">
        <f>HYPERLINK("https://twitter.com/Emi1969/status/1063191602850660358","1063191602850660358")</f>
        <v>1063191602850660358</v>
      </c>
      <c r="F1098" s="11" t="s">
        <v>2433</v>
      </c>
      <c r="G1098" s="12"/>
      <c r="H1098" s="12"/>
      <c r="I1098" s="13">
        <v>1</v>
      </c>
      <c r="J1098" s="13">
        <v>0</v>
      </c>
      <c r="K1098" s="14" t="str">
        <f t="shared" si="316"/>
        <v>Twitter for Android</v>
      </c>
      <c r="L1098" s="13">
        <v>1488</v>
      </c>
      <c r="M1098" s="13">
        <v>5002</v>
      </c>
      <c r="N1098" s="13">
        <v>37</v>
      </c>
      <c r="O1098" s="15"/>
      <c r="P1098" s="6">
        <v>40782.580104166671</v>
      </c>
      <c r="Q1098" s="16" t="s">
        <v>4446</v>
      </c>
      <c r="R1098" s="17" t="s">
        <v>4447</v>
      </c>
      <c r="S1098" s="11" t="s">
        <v>4448</v>
      </c>
      <c r="T1098" s="12"/>
      <c r="U1098" s="10" t="str">
        <f>HYPERLINK("https://pbs.twimg.com/profile_images/1063836930327093250/1w4lcR81.jpg","View")</f>
        <v>View</v>
      </c>
    </row>
    <row r="1099" spans="1:21" ht="51">
      <c r="A1099" s="6">
        <v>43419.959722222222</v>
      </c>
      <c r="B1099" s="7" t="str">
        <f>HYPERLINK("https://twitter.com/bitMomentum","@bitMomentum")</f>
        <v>@bitMomentum</v>
      </c>
      <c r="C1099" s="8" t="s">
        <v>368</v>
      </c>
      <c r="D1099" s="9" t="s">
        <v>3604</v>
      </c>
      <c r="E1099" s="10" t="str">
        <f>HYPERLINK("https://twitter.com/bitMomentum/status/1063190404319928320","1063190404319928320")</f>
        <v>1063190404319928320</v>
      </c>
      <c r="F1099" s="12"/>
      <c r="G1099" s="12"/>
      <c r="H1099" s="12"/>
      <c r="I1099" s="13">
        <v>0</v>
      </c>
      <c r="J1099" s="13">
        <v>0</v>
      </c>
      <c r="K1099" s="14" t="str">
        <f>HYPERLINK("http://www.bitmomentum.com","bitMomentum Bot")</f>
        <v>bitMomentum Bot</v>
      </c>
      <c r="L1099" s="13">
        <v>10132</v>
      </c>
      <c r="M1099" s="13">
        <v>1060</v>
      </c>
      <c r="N1099" s="13">
        <v>267</v>
      </c>
      <c r="O1099" s="15"/>
      <c r="P1099" s="6">
        <v>41608.667511574073</v>
      </c>
      <c r="Q1099" s="12"/>
      <c r="R1099" s="17" t="s">
        <v>371</v>
      </c>
      <c r="S1099" s="11" t="s">
        <v>372</v>
      </c>
      <c r="T1099" s="12"/>
      <c r="U1099" s="10" t="str">
        <f>HYPERLINK("https://pbs.twimg.com/profile_images/378800000862185241/20ij2H3u.png","View")</f>
        <v>View</v>
      </c>
    </row>
    <row r="1100" spans="1:21" ht="51">
      <c r="A1100" s="6">
        <v>43419.95957175926</v>
      </c>
      <c r="B1100" s="7" t="str">
        <f>HYPERLINK("https://twitter.com/carlosch_m","@carlosch_m")</f>
        <v>@carlosch_m</v>
      </c>
      <c r="C1100" s="8" t="s">
        <v>3609</v>
      </c>
      <c r="D1100" s="9" t="s">
        <v>3610</v>
      </c>
      <c r="E1100" s="10" t="str">
        <f>HYPERLINK("https://twitter.com/carlosch_m/status/1063190351169679360","1063190351169679360")</f>
        <v>1063190351169679360</v>
      </c>
      <c r="F1100" s="12"/>
      <c r="G1100" s="12"/>
      <c r="H1100" s="12"/>
      <c r="I1100" s="13">
        <v>0</v>
      </c>
      <c r="J1100" s="13">
        <v>1</v>
      </c>
      <c r="K1100" s="14" t="str">
        <f>HYPERLINK("http://twitter.com/download/android","Twitter for Android")</f>
        <v>Twitter for Android</v>
      </c>
      <c r="L1100" s="13">
        <v>25</v>
      </c>
      <c r="M1100" s="13">
        <v>85</v>
      </c>
      <c r="N1100" s="13">
        <v>0</v>
      </c>
      <c r="O1100" s="15"/>
      <c r="P1100" s="6">
        <v>43331.897499999999</v>
      </c>
      <c r="Q1100" s="16" t="s">
        <v>66</v>
      </c>
      <c r="R1100" s="17" t="s">
        <v>3611</v>
      </c>
      <c r="S1100" s="12"/>
      <c r="T1100" s="12"/>
      <c r="U1100" s="10" t="str">
        <f>HYPERLINK("https://pbs.twimg.com/profile_images/1031263884550791168/hsBSR1UA.jpg","View")</f>
        <v>View</v>
      </c>
    </row>
    <row r="1101" spans="1:21" ht="61.2">
      <c r="A1101" s="6">
        <v>43419.95511574074</v>
      </c>
      <c r="B1101" s="7" t="str">
        <f>HYPERLINK("https://twitter.com/espainiakobeldu","@espainiakobeldu")</f>
        <v>@espainiakobeldu</v>
      </c>
      <c r="C1101" s="8" t="s">
        <v>3612</v>
      </c>
      <c r="D1101" s="9" t="s">
        <v>3613</v>
      </c>
      <c r="E1101" s="10" t="str">
        <f>HYPERLINK("https://twitter.com/espainiakobeldu/status/1063188735158829056","1063188735158829056")</f>
        <v>1063188735158829056</v>
      </c>
      <c r="F1101" s="11" t="s">
        <v>3614</v>
      </c>
      <c r="G1101" s="11" t="s">
        <v>3615</v>
      </c>
      <c r="H1101" s="12"/>
      <c r="I1101" s="13">
        <v>0</v>
      </c>
      <c r="J1101" s="13">
        <v>0</v>
      </c>
      <c r="K1101" s="14" t="str">
        <f t="shared" ref="K1101:K1102" si="317">HYPERLINK("http://twitter.com/download/iphone","Twitter for iPhone")</f>
        <v>Twitter for iPhone</v>
      </c>
      <c r="L1101" s="13">
        <v>432</v>
      </c>
      <c r="M1101" s="13">
        <v>821</v>
      </c>
      <c r="N1101" s="13">
        <v>0</v>
      </c>
      <c r="O1101" s="15"/>
      <c r="P1101" s="6">
        <v>43338.070520833338</v>
      </c>
      <c r="Q1101" s="16" t="s">
        <v>66</v>
      </c>
      <c r="R1101" s="17" t="s">
        <v>3616</v>
      </c>
      <c r="S1101" s="12"/>
      <c r="T1101" s="12"/>
      <c r="U1101" s="10" t="str">
        <f>HYPERLINK("https://pbs.twimg.com/profile_images/1034820060966281217/hzUW9nV0.jpg","View")</f>
        <v>View</v>
      </c>
    </row>
    <row r="1102" spans="1:21" ht="20.399999999999999">
      <c r="A1102" s="6">
        <v>43419.94530092593</v>
      </c>
      <c r="B1102" s="7" t="str">
        <f>HYPERLINK("https://twitter.com/Sr_Hispano","@Sr_Hispano")</f>
        <v>@Sr_Hispano</v>
      </c>
      <c r="C1102" s="8" t="s">
        <v>3617</v>
      </c>
      <c r="D1102" s="9" t="s">
        <v>3618</v>
      </c>
      <c r="E1102" s="10" t="str">
        <f>HYPERLINK("https://twitter.com/Sr_Hispano/status/1063185180322660353","1063185180322660353")</f>
        <v>1063185180322660353</v>
      </c>
      <c r="F1102" s="12"/>
      <c r="G1102" s="11" t="s">
        <v>3619</v>
      </c>
      <c r="H1102" s="12"/>
      <c r="I1102" s="13">
        <v>3</v>
      </c>
      <c r="J1102" s="13">
        <v>3</v>
      </c>
      <c r="K1102" s="14" t="str">
        <f t="shared" si="317"/>
        <v>Twitter for iPhone</v>
      </c>
      <c r="L1102" s="13">
        <v>403</v>
      </c>
      <c r="M1102" s="13">
        <v>423</v>
      </c>
      <c r="N1102" s="13">
        <v>7</v>
      </c>
      <c r="O1102" s="15"/>
      <c r="P1102" s="6">
        <v>41723.956990740742</v>
      </c>
      <c r="Q1102" s="16" t="s">
        <v>66</v>
      </c>
      <c r="R1102" s="17" t="s">
        <v>3620</v>
      </c>
      <c r="S1102" s="12"/>
      <c r="T1102" s="12"/>
      <c r="U1102" s="10" t="str">
        <f>HYPERLINK("https://pbs.twimg.com/profile_images/964281942819639297/eeUgTYYa.jpg","View")</f>
        <v>View</v>
      </c>
    </row>
    <row r="1103" spans="1:21" ht="40.799999999999997">
      <c r="A1103" s="6">
        <v>43419.9449537037</v>
      </c>
      <c r="B1103" s="7" t="str">
        <f>HYPERLINK("https://twitter.com/AngelesRendn1","@AngelesRendn1")</f>
        <v>@AngelesRendn1</v>
      </c>
      <c r="C1103" s="8" t="s">
        <v>4455</v>
      </c>
      <c r="D1103" s="9" t="s">
        <v>3908</v>
      </c>
      <c r="E1103" s="10" t="str">
        <f>HYPERLINK("https://twitter.com/AngelesRendn1/status/1063185053465874432","1063185053465874432")</f>
        <v>1063185053465874432</v>
      </c>
      <c r="F1103" s="11" t="s">
        <v>2433</v>
      </c>
      <c r="G1103" s="12"/>
      <c r="H1103" s="12"/>
      <c r="I1103" s="13">
        <v>3</v>
      </c>
      <c r="J1103" s="13">
        <v>4</v>
      </c>
      <c r="K1103" s="14" t="str">
        <f t="shared" ref="K1103:K1105" si="318">HYPERLINK("http://twitter.com/download/android","Twitter for Android")</f>
        <v>Twitter for Android</v>
      </c>
      <c r="L1103" s="13">
        <v>8735</v>
      </c>
      <c r="M1103" s="13">
        <v>6464</v>
      </c>
      <c r="N1103" s="13">
        <v>70</v>
      </c>
      <c r="O1103" s="15"/>
      <c r="P1103" s="6">
        <v>42331.020300925928</v>
      </c>
      <c r="Q1103" s="12"/>
      <c r="R1103" s="17" t="s">
        <v>4456</v>
      </c>
      <c r="S1103" s="12"/>
      <c r="T1103" s="12"/>
      <c r="U1103" s="10" t="str">
        <f>HYPERLINK("https://pbs.twimg.com/profile_images/1055244114889977856/yQvW3oet.jpg","View")</f>
        <v>View</v>
      </c>
    </row>
    <row r="1104" spans="1:21" ht="71.400000000000006">
      <c r="A1104" s="6">
        <v>43419.944652777776</v>
      </c>
      <c r="B1104" s="7" t="str">
        <f>HYPERLINK("https://twitter.com/iSemperLiber","@iSemperLiber")</f>
        <v>@iSemperLiber</v>
      </c>
      <c r="C1104" s="8" t="s">
        <v>1730</v>
      </c>
      <c r="D1104" s="9" t="s">
        <v>3621</v>
      </c>
      <c r="E1104" s="10" t="str">
        <f>HYPERLINK("https://twitter.com/iSemperLiber/status/1063184946766995468","1063184946766995468")</f>
        <v>1063184946766995468</v>
      </c>
      <c r="F1104" s="16" t="s">
        <v>3622</v>
      </c>
      <c r="G1104" s="11" t="s">
        <v>3623</v>
      </c>
      <c r="H1104" s="12"/>
      <c r="I1104" s="13">
        <v>3</v>
      </c>
      <c r="J1104" s="13">
        <v>3</v>
      </c>
      <c r="K1104" s="14" t="str">
        <f t="shared" si="318"/>
        <v>Twitter for Android</v>
      </c>
      <c r="L1104" s="13">
        <v>5815</v>
      </c>
      <c r="M1104" s="13">
        <v>479</v>
      </c>
      <c r="N1104" s="13">
        <v>94</v>
      </c>
      <c r="O1104" s="15"/>
      <c r="P1104" s="6">
        <v>42372.423043981486</v>
      </c>
      <c r="Q1104" s="16" t="s">
        <v>953</v>
      </c>
      <c r="R1104" s="17" t="s">
        <v>1733</v>
      </c>
      <c r="S1104" s="11" t="s">
        <v>1734</v>
      </c>
      <c r="T1104" s="12"/>
      <c r="U1104" s="10" t="str">
        <f>HYPERLINK("https://pbs.twimg.com/profile_images/1011968592953430016/rzOJ87gt.jpg","View")</f>
        <v>View</v>
      </c>
    </row>
    <row r="1105" spans="1:21" ht="71.400000000000006">
      <c r="A1105" s="6">
        <v>43419.94253472222</v>
      </c>
      <c r="B1105" s="7" t="str">
        <f>HYPERLINK("https://twitter.com/madrile20","@madrile20")</f>
        <v>@madrile20</v>
      </c>
      <c r="C1105" s="8" t="s">
        <v>3624</v>
      </c>
      <c r="D1105" s="9" t="s">
        <v>3625</v>
      </c>
      <c r="E1105" s="10" t="str">
        <f>HYPERLINK("https://twitter.com/madrile20/status/1063184176822804480","1063184176822804480")</f>
        <v>1063184176822804480</v>
      </c>
      <c r="F1105" s="11" t="s">
        <v>3509</v>
      </c>
      <c r="G1105" s="11" t="s">
        <v>2397</v>
      </c>
      <c r="H1105" s="12"/>
      <c r="I1105" s="13">
        <v>0</v>
      </c>
      <c r="J1105" s="13">
        <v>1</v>
      </c>
      <c r="K1105" s="14" t="str">
        <f t="shared" si="318"/>
        <v>Twitter for Android</v>
      </c>
      <c r="L1105" s="13">
        <v>69</v>
      </c>
      <c r="M1105" s="13">
        <v>30</v>
      </c>
      <c r="N1105" s="13">
        <v>0</v>
      </c>
      <c r="O1105" s="15"/>
      <c r="P1105" s="6">
        <v>41077.746979166666</v>
      </c>
      <c r="Q1105" s="12"/>
      <c r="R1105" s="17" t="s">
        <v>3626</v>
      </c>
      <c r="S1105" s="12"/>
      <c r="T1105" s="12"/>
      <c r="U1105" s="10" t="str">
        <f>HYPERLINK("https://pbs.twimg.com/profile_images/1052428630121488384/cXYHRnE9.jpg","View")</f>
        <v>View</v>
      </c>
    </row>
    <row r="1106" spans="1:21" ht="40.799999999999997">
      <c r="A1106" s="6">
        <v>43419.937696759254</v>
      </c>
      <c r="B1106" s="7" t="str">
        <f>HYPERLINK("https://twitter.com/paseante2000","@paseante2000")</f>
        <v>@paseante2000</v>
      </c>
      <c r="C1106" s="8" t="s">
        <v>3627</v>
      </c>
      <c r="D1106" s="9" t="s">
        <v>3628</v>
      </c>
      <c r="E1106" s="10" t="str">
        <f>HYPERLINK("https://twitter.com/paseante2000/status/1063182424664932352","1063182424664932352")</f>
        <v>1063182424664932352</v>
      </c>
      <c r="F1106" s="11" t="s">
        <v>3629</v>
      </c>
      <c r="G1106" s="12"/>
      <c r="H1106" s="12"/>
      <c r="I1106" s="13">
        <v>1</v>
      </c>
      <c r="J1106" s="13">
        <v>1</v>
      </c>
      <c r="K1106" s="14" t="str">
        <f t="shared" ref="K1106:K1107" si="319">HYPERLINK("http://twitter.com","Twitter Web Client")</f>
        <v>Twitter Web Client</v>
      </c>
      <c r="L1106" s="13">
        <v>1323</v>
      </c>
      <c r="M1106" s="13">
        <v>1173</v>
      </c>
      <c r="N1106" s="13">
        <v>18</v>
      </c>
      <c r="O1106" s="15"/>
      <c r="P1106" s="6">
        <v>40232.841168981482</v>
      </c>
      <c r="Q1106" s="16" t="s">
        <v>3630</v>
      </c>
      <c r="R1106" s="17" t="s">
        <v>3631</v>
      </c>
      <c r="S1106" s="11" t="s">
        <v>3632</v>
      </c>
      <c r="T1106" s="12"/>
      <c r="U1106" s="10" t="str">
        <f>HYPERLINK("https://pbs.twimg.com/profile_images/1022930201389555712/M0lEzCPI.jpg","View")</f>
        <v>View</v>
      </c>
    </row>
    <row r="1107" spans="1:21" ht="20.399999999999999">
      <c r="A1107" s="6">
        <v>43419.935729166667</v>
      </c>
      <c r="B1107" s="7" t="str">
        <f>HYPERLINK("https://twitter.com/coli48","@coli48")</f>
        <v>@coli48</v>
      </c>
      <c r="C1107" s="8" t="s">
        <v>4468</v>
      </c>
      <c r="D1107" s="9" t="s">
        <v>2432</v>
      </c>
      <c r="E1107" s="10" t="str">
        <f>HYPERLINK("https://twitter.com/coli48/status/1063181712065224711","1063181712065224711")</f>
        <v>1063181712065224711</v>
      </c>
      <c r="F1107" s="11" t="s">
        <v>3042</v>
      </c>
      <c r="G1107" s="12"/>
      <c r="H1107" s="12"/>
      <c r="I1107" s="13">
        <v>0</v>
      </c>
      <c r="J1107" s="13">
        <v>0</v>
      </c>
      <c r="K1107" s="14" t="str">
        <f t="shared" si="319"/>
        <v>Twitter Web Client</v>
      </c>
      <c r="L1107" s="13">
        <v>2234</v>
      </c>
      <c r="M1107" s="13">
        <v>2482</v>
      </c>
      <c r="N1107" s="13">
        <v>34</v>
      </c>
      <c r="O1107" s="15"/>
      <c r="P1107" s="6">
        <v>40638.014861111107</v>
      </c>
      <c r="Q1107" s="16" t="s">
        <v>66</v>
      </c>
      <c r="R1107" s="17" t="s">
        <v>4472</v>
      </c>
      <c r="S1107" s="12"/>
      <c r="T1107" s="12"/>
      <c r="U1107" s="10" t="str">
        <f>HYPERLINK("https://pbs.twimg.com/profile_images/818574685420011520/kBqBi4de.jpg","View")</f>
        <v>View</v>
      </c>
    </row>
    <row r="1108" spans="1:21" ht="91.8">
      <c r="A1108" s="6">
        <v>43419.934386574074</v>
      </c>
      <c r="B1108" s="7" t="str">
        <f>HYPERLINK("https://twitter.com/JoseLRodrigo","@JoseLRodrigo")</f>
        <v>@JoseLRodrigo</v>
      </c>
      <c r="C1108" s="8" t="s">
        <v>3633</v>
      </c>
      <c r="D1108" s="9" t="s">
        <v>3634</v>
      </c>
      <c r="E1108" s="10" t="str">
        <f>HYPERLINK("https://twitter.com/JoseLRodrigo/status/1063181222946443264","1063181222946443264")</f>
        <v>1063181222946443264</v>
      </c>
      <c r="F1108" s="11" t="s">
        <v>3635</v>
      </c>
      <c r="G1108" s="12"/>
      <c r="H1108" s="12"/>
      <c r="I1108" s="13">
        <v>0</v>
      </c>
      <c r="J1108" s="13">
        <v>0</v>
      </c>
      <c r="K1108" s="14" t="str">
        <f>HYPERLINK("http://twitter.com/download/iphone","Twitter for iPhone")</f>
        <v>Twitter for iPhone</v>
      </c>
      <c r="L1108" s="13">
        <v>661</v>
      </c>
      <c r="M1108" s="13">
        <v>544</v>
      </c>
      <c r="N1108" s="13">
        <v>12</v>
      </c>
      <c r="O1108" s="15"/>
      <c r="P1108" s="6">
        <v>41600.482858796298</v>
      </c>
      <c r="Q1108" s="16" t="s">
        <v>3637</v>
      </c>
      <c r="R1108" s="17" t="s">
        <v>3638</v>
      </c>
      <c r="S1108" s="12"/>
      <c r="T1108" s="12"/>
      <c r="U1108" s="10" t="str">
        <f>HYPERLINK("https://pbs.twimg.com/profile_images/1052937434005204992/IuS5Aq7f.jpg","View")</f>
        <v>View</v>
      </c>
    </row>
    <row r="1109" spans="1:21" ht="20.399999999999999">
      <c r="A1109" s="6">
        <v>43419.932303240741</v>
      </c>
      <c r="B1109" s="7" t="str">
        <f>HYPERLINK("https://twitter.com/migueangcarmona","@migueangcarmona")</f>
        <v>@migueangcarmona</v>
      </c>
      <c r="C1109" s="8" t="s">
        <v>3640</v>
      </c>
      <c r="D1109" s="9" t="s">
        <v>3641</v>
      </c>
      <c r="E1109" s="10" t="str">
        <f>HYPERLINK("https://twitter.com/migueangcarmona/status/1063180470991642629","1063180470991642629")</f>
        <v>1063180470991642629</v>
      </c>
      <c r="F1109" s="12"/>
      <c r="G1109" s="12"/>
      <c r="H1109" s="12"/>
      <c r="I1109" s="13">
        <v>0</v>
      </c>
      <c r="J1109" s="13">
        <v>0</v>
      </c>
      <c r="K1109" s="14" t="str">
        <f>HYPERLINK("http://twitter.com/download/android","Twitter for Android")</f>
        <v>Twitter for Android</v>
      </c>
      <c r="L1109" s="13">
        <v>492</v>
      </c>
      <c r="M1109" s="13">
        <v>589</v>
      </c>
      <c r="N1109" s="13">
        <v>3</v>
      </c>
      <c r="O1109" s="15"/>
      <c r="P1109" s="6">
        <v>41053.716944444444</v>
      </c>
      <c r="Q1109" s="16" t="s">
        <v>3642</v>
      </c>
      <c r="R1109" s="17" t="s">
        <v>3643</v>
      </c>
      <c r="S1109" s="12"/>
      <c r="T1109" s="12"/>
      <c r="U1109" s="10" t="str">
        <f>HYPERLINK("https://pbs.twimg.com/profile_images/1062054355799547904/wlF6VlZ9.jpg","View")</f>
        <v>View</v>
      </c>
    </row>
    <row r="1110" spans="1:21" ht="51">
      <c r="A1110" s="6">
        <v>43419.928703703699</v>
      </c>
      <c r="B1110" s="7" t="str">
        <f>HYPERLINK("https://twitter.com/bitMomentum","@bitMomentum")</f>
        <v>@bitMomentum</v>
      </c>
      <c r="C1110" s="8" t="s">
        <v>368</v>
      </c>
      <c r="D1110" s="9" t="s">
        <v>3646</v>
      </c>
      <c r="E1110" s="10" t="str">
        <f>HYPERLINK("https://twitter.com/bitMomentum/status/1063179166433058817","1063179166433058817")</f>
        <v>1063179166433058817</v>
      </c>
      <c r="F1110" s="12"/>
      <c r="G1110" s="11" t="s">
        <v>3647</v>
      </c>
      <c r="H1110" s="12"/>
      <c r="I1110" s="13">
        <v>0</v>
      </c>
      <c r="J1110" s="13">
        <v>0</v>
      </c>
      <c r="K1110" s="14" t="str">
        <f>HYPERLINK("http://www.bitmomentum.com","bitMomentum Bot")</f>
        <v>bitMomentum Bot</v>
      </c>
      <c r="L1110" s="13">
        <v>10132</v>
      </c>
      <c r="M1110" s="13">
        <v>1060</v>
      </c>
      <c r="N1110" s="13">
        <v>267</v>
      </c>
      <c r="O1110" s="15"/>
      <c r="P1110" s="6">
        <v>41608.667511574073</v>
      </c>
      <c r="Q1110" s="12"/>
      <c r="R1110" s="17" t="s">
        <v>371</v>
      </c>
      <c r="S1110" s="11" t="s">
        <v>372</v>
      </c>
      <c r="T1110" s="12"/>
      <c r="U1110" s="10" t="str">
        <f>HYPERLINK("https://pbs.twimg.com/profile_images/378800000862185241/20ij2H3u.png","View")</f>
        <v>View</v>
      </c>
    </row>
    <row r="1111" spans="1:21" ht="30.6">
      <c r="A1111" s="6">
        <v>43419.925543981481</v>
      </c>
      <c r="B1111" s="7" t="str">
        <f>HYPERLINK("https://twitter.com/CapitanCt555","@CapitanCt555")</f>
        <v>@CapitanCt555</v>
      </c>
      <c r="C1111" s="8" t="s">
        <v>3650</v>
      </c>
      <c r="D1111" s="9" t="s">
        <v>3651</v>
      </c>
      <c r="E1111" s="10" t="str">
        <f>HYPERLINK("https://twitter.com/CapitanCt555/status/1063178018556964865","1063178018556964865")</f>
        <v>1063178018556964865</v>
      </c>
      <c r="F1111" s="12"/>
      <c r="G1111" s="11" t="s">
        <v>3652</v>
      </c>
      <c r="H1111" s="12"/>
      <c r="I1111" s="13">
        <v>0</v>
      </c>
      <c r="J1111" s="13">
        <v>0</v>
      </c>
      <c r="K1111" s="14" t="str">
        <f t="shared" ref="K1111:K1113" si="320">HYPERLINK("http://twitter.com/download/android","Twitter for Android")</f>
        <v>Twitter for Android</v>
      </c>
      <c r="L1111" s="13">
        <v>43</v>
      </c>
      <c r="M1111" s="13">
        <v>138</v>
      </c>
      <c r="N1111" s="13">
        <v>1</v>
      </c>
      <c r="O1111" s="15"/>
      <c r="P1111" s="6">
        <v>42617.894062499996</v>
      </c>
      <c r="Q1111" s="16" t="s">
        <v>3653</v>
      </c>
      <c r="R1111" s="17" t="s">
        <v>3654</v>
      </c>
      <c r="S1111" s="12"/>
      <c r="T1111" s="12"/>
      <c r="U1111" s="10" t="str">
        <f>HYPERLINK("https://pbs.twimg.com/profile_images/1051123870411964416/lMRBA6tc.jpg","View")</f>
        <v>View</v>
      </c>
    </row>
    <row r="1112" spans="1:21" ht="61.2">
      <c r="A1112" s="6">
        <v>43419.925208333334</v>
      </c>
      <c r="B1112" s="7" t="str">
        <f>HYPERLINK("https://twitter.com/cukecito","@cukecito")</f>
        <v>@cukecito</v>
      </c>
      <c r="C1112" s="8" t="s">
        <v>3599</v>
      </c>
      <c r="D1112" s="9" t="s">
        <v>3655</v>
      </c>
      <c r="E1112" s="10" t="str">
        <f>HYPERLINK("https://twitter.com/cukecito/status/1063177899098820608","1063177899098820608")</f>
        <v>1063177899098820608</v>
      </c>
      <c r="F1112" s="11" t="s">
        <v>3656</v>
      </c>
      <c r="G1112" s="11" t="s">
        <v>2397</v>
      </c>
      <c r="H1112" s="12"/>
      <c r="I1112" s="13">
        <v>0</v>
      </c>
      <c r="J1112" s="13">
        <v>0</v>
      </c>
      <c r="K1112" s="14" t="str">
        <f t="shared" si="320"/>
        <v>Twitter for Android</v>
      </c>
      <c r="L1112" s="13">
        <v>55</v>
      </c>
      <c r="M1112" s="13">
        <v>105</v>
      </c>
      <c r="N1112" s="13">
        <v>1</v>
      </c>
      <c r="O1112" s="15"/>
      <c r="P1112" s="6">
        <v>40583.571655092594</v>
      </c>
      <c r="Q1112" s="16" t="s">
        <v>3601</v>
      </c>
      <c r="R1112" s="17" t="s">
        <v>3602</v>
      </c>
      <c r="S1112" s="11" t="s">
        <v>3603</v>
      </c>
      <c r="T1112" s="12"/>
      <c r="U1112" s="10" t="str">
        <f>HYPERLINK("https://pbs.twimg.com/profile_images/1240221594/cuke2.jpg","View")</f>
        <v>View</v>
      </c>
    </row>
    <row r="1113" spans="1:21" ht="51">
      <c r="A1113" s="6">
        <v>43419.924907407403</v>
      </c>
      <c r="B1113" s="7" t="str">
        <f>HYPERLINK("https://twitter.com/JIdelgadoG","@JIdelgadoG")</f>
        <v>@JIdelgadoG</v>
      </c>
      <c r="C1113" s="8" t="s">
        <v>3657</v>
      </c>
      <c r="D1113" s="9" t="s">
        <v>3658</v>
      </c>
      <c r="E1113" s="10" t="str">
        <f>HYPERLINK("https://twitter.com/JIdelgadoG/status/1063177788327366658","1063177788327366658")</f>
        <v>1063177788327366658</v>
      </c>
      <c r="F1113" s="12"/>
      <c r="G1113" s="12"/>
      <c r="H1113" s="12"/>
      <c r="I1113" s="13">
        <v>0</v>
      </c>
      <c r="J1113" s="13">
        <v>0</v>
      </c>
      <c r="K1113" s="14" t="str">
        <f t="shared" si="320"/>
        <v>Twitter for Android</v>
      </c>
      <c r="L1113" s="13">
        <v>104</v>
      </c>
      <c r="M1113" s="13">
        <v>243</v>
      </c>
      <c r="N1113" s="13">
        <v>2</v>
      </c>
      <c r="O1113" s="15"/>
      <c r="P1113" s="6">
        <v>40631.785231481481</v>
      </c>
      <c r="Q1113" s="16" t="s">
        <v>104</v>
      </c>
      <c r="R1113" s="21"/>
      <c r="S1113" s="11" t="s">
        <v>3659</v>
      </c>
      <c r="T1113" s="12"/>
      <c r="U1113" s="10" t="str">
        <f>HYPERLINK("https://pbs.twimg.com/profile_images/481953013188550657/zleiw4sH.jpeg","View")</f>
        <v>View</v>
      </c>
    </row>
    <row r="1114" spans="1:21" ht="30.6">
      <c r="A1114" s="6">
        <v>43419.922905092593</v>
      </c>
      <c r="B1114" s="7" t="str">
        <f>HYPERLINK("https://twitter.com/frcub","@frcub")</f>
        <v>@frcub</v>
      </c>
      <c r="C1114" s="8" t="s">
        <v>4500</v>
      </c>
      <c r="D1114" s="9" t="s">
        <v>3908</v>
      </c>
      <c r="E1114" s="10" t="str">
        <f>HYPERLINK("https://twitter.com/frcub/status/1063177062645673984","1063177062645673984")</f>
        <v>1063177062645673984</v>
      </c>
      <c r="F1114" s="11" t="s">
        <v>2433</v>
      </c>
      <c r="G1114" s="12"/>
      <c r="H1114" s="12"/>
      <c r="I1114" s="13">
        <v>3</v>
      </c>
      <c r="J1114" s="13">
        <v>1</v>
      </c>
      <c r="K1114" s="14" t="str">
        <f>HYPERLINK("http://twitter.com","Twitter Web Client")</f>
        <v>Twitter Web Client</v>
      </c>
      <c r="L1114" s="13">
        <v>5019</v>
      </c>
      <c r="M1114" s="13">
        <v>3885</v>
      </c>
      <c r="N1114" s="13">
        <v>58</v>
      </c>
      <c r="O1114" s="15"/>
      <c r="P1114" s="6">
        <v>40664.317858796298</v>
      </c>
      <c r="Q1114" s="16" t="s">
        <v>66</v>
      </c>
      <c r="R1114" s="17" t="s">
        <v>4503</v>
      </c>
      <c r="S1114" s="12"/>
      <c r="T1114" s="12"/>
      <c r="U1114" s="10" t="str">
        <f>HYPERLINK("https://pbs.twimg.com/profile_images/1041719046293647360/7xigqmIy.jpg","View")</f>
        <v>View</v>
      </c>
    </row>
    <row r="1115" spans="1:21" ht="61.2">
      <c r="A1115" s="6">
        <v>43419.92114583333</v>
      </c>
      <c r="B1115" s="7" t="str">
        <f>HYPERLINK("https://twitter.com/cukecito","@cukecito")</f>
        <v>@cukecito</v>
      </c>
      <c r="C1115" s="8" t="s">
        <v>3599</v>
      </c>
      <c r="D1115" s="9" t="s">
        <v>3660</v>
      </c>
      <c r="E1115" s="10" t="str">
        <f>HYPERLINK("https://twitter.com/cukecito/status/1063176427967836160","1063176427967836160")</f>
        <v>1063176427967836160</v>
      </c>
      <c r="F1115" s="11" t="s">
        <v>3141</v>
      </c>
      <c r="G1115" s="11" t="s">
        <v>3142</v>
      </c>
      <c r="H1115" s="12"/>
      <c r="I1115" s="13">
        <v>0</v>
      </c>
      <c r="J1115" s="13">
        <v>0</v>
      </c>
      <c r="K1115" s="14" t="str">
        <f t="shared" ref="K1115:K1117" si="321">HYPERLINK("http://twitter.com/download/android","Twitter for Android")</f>
        <v>Twitter for Android</v>
      </c>
      <c r="L1115" s="13">
        <v>55</v>
      </c>
      <c r="M1115" s="13">
        <v>105</v>
      </c>
      <c r="N1115" s="13">
        <v>1</v>
      </c>
      <c r="O1115" s="15"/>
      <c r="P1115" s="6">
        <v>40583.571655092594</v>
      </c>
      <c r="Q1115" s="16" t="s">
        <v>3601</v>
      </c>
      <c r="R1115" s="17" t="s">
        <v>3602</v>
      </c>
      <c r="S1115" s="11" t="s">
        <v>3603</v>
      </c>
      <c r="T1115" s="12"/>
      <c r="U1115" s="10" t="str">
        <f>HYPERLINK("https://pbs.twimg.com/profile_images/1240221594/cuke2.jpg","View")</f>
        <v>View</v>
      </c>
    </row>
    <row r="1116" spans="1:21" ht="61.2">
      <c r="A1116" s="6">
        <v>43419.920902777776</v>
      </c>
      <c r="B1116" s="7" t="str">
        <f>HYPERLINK("https://twitter.com/moutopor","@moutopor")</f>
        <v>@moutopor</v>
      </c>
      <c r="C1116" s="8" t="s">
        <v>3661</v>
      </c>
      <c r="D1116" s="9" t="s">
        <v>3662</v>
      </c>
      <c r="E1116" s="10" t="str">
        <f>HYPERLINK("https://twitter.com/moutopor/status/1063176338503278592","1063176338503278592")</f>
        <v>1063176338503278592</v>
      </c>
      <c r="F1116" s="11" t="s">
        <v>3663</v>
      </c>
      <c r="G1116" s="11" t="s">
        <v>3664</v>
      </c>
      <c r="H1116" s="12"/>
      <c r="I1116" s="13">
        <v>0</v>
      </c>
      <c r="J1116" s="13">
        <v>0</v>
      </c>
      <c r="K1116" s="14" t="str">
        <f t="shared" si="321"/>
        <v>Twitter for Android</v>
      </c>
      <c r="L1116" s="13">
        <v>3195</v>
      </c>
      <c r="M1116" s="13">
        <v>449</v>
      </c>
      <c r="N1116" s="13">
        <v>7</v>
      </c>
      <c r="O1116" s="15"/>
      <c r="P1116" s="6">
        <v>41851.935115740736</v>
      </c>
      <c r="Q1116" s="16" t="s">
        <v>66</v>
      </c>
      <c r="R1116" s="17" t="s">
        <v>3665</v>
      </c>
      <c r="S1116" s="12"/>
      <c r="T1116" s="12"/>
      <c r="U1116" s="10" t="str">
        <f>HYPERLINK("https://pbs.twimg.com/profile_images/981044748822745089/It07RpRB.jpg","View")</f>
        <v>View</v>
      </c>
    </row>
    <row r="1117" spans="1:21" ht="30.6">
      <c r="A1117" s="6">
        <v>43419.920370370368</v>
      </c>
      <c r="B1117" s="7" t="str">
        <f>HYPERLINK("https://twitter.com/danipm89","@danipm89")</f>
        <v>@danipm89</v>
      </c>
      <c r="C1117" s="8" t="s">
        <v>3666</v>
      </c>
      <c r="D1117" s="9" t="s">
        <v>3667</v>
      </c>
      <c r="E1117" s="10" t="str">
        <f>HYPERLINK("https://twitter.com/danipm89/status/1063176144952979456","1063176144952979456")</f>
        <v>1063176144952979456</v>
      </c>
      <c r="F1117" s="11" t="s">
        <v>3668</v>
      </c>
      <c r="G1117" s="12"/>
      <c r="H1117" s="12"/>
      <c r="I1117" s="13">
        <v>0</v>
      </c>
      <c r="J1117" s="13">
        <v>0</v>
      </c>
      <c r="K1117" s="14" t="str">
        <f t="shared" si="321"/>
        <v>Twitter for Android</v>
      </c>
      <c r="L1117" s="13">
        <v>84</v>
      </c>
      <c r="M1117" s="13">
        <v>368</v>
      </c>
      <c r="N1117" s="13">
        <v>0</v>
      </c>
      <c r="O1117" s="15"/>
      <c r="P1117" s="6">
        <v>40295.709363425922</v>
      </c>
      <c r="Q1117" s="16" t="s">
        <v>3671</v>
      </c>
      <c r="R1117" s="21"/>
      <c r="S1117" s="12"/>
      <c r="T1117" s="12"/>
      <c r="U1117" s="10" t="str">
        <f>HYPERLINK("https://pbs.twimg.com/profile_images/1057707265363492866/MqjF5VlS.jpg","View")</f>
        <v>View</v>
      </c>
    </row>
    <row r="1118" spans="1:21" ht="40.799999999999997">
      <c r="A1118" s="6">
        <v>43419.91805555555</v>
      </c>
      <c r="B1118" s="7" t="str">
        <f>HYPERLINK("https://twitter.com/bitMomentum","@bitMomentum")</f>
        <v>@bitMomentum</v>
      </c>
      <c r="C1118" s="8" t="s">
        <v>368</v>
      </c>
      <c r="D1118" s="9" t="s">
        <v>3674</v>
      </c>
      <c r="E1118" s="10" t="str">
        <f>HYPERLINK("https://twitter.com/bitMomentum/status/1063175304963858432","1063175304963858432")</f>
        <v>1063175304963858432</v>
      </c>
      <c r="F1118" s="12"/>
      <c r="G1118" s="12"/>
      <c r="H1118" s="12"/>
      <c r="I1118" s="13">
        <v>0</v>
      </c>
      <c r="J1118" s="13">
        <v>0</v>
      </c>
      <c r="K1118" s="14" t="str">
        <f>HYPERLINK("http://www.bitmomentum.com","bitMomentum Bot")</f>
        <v>bitMomentum Bot</v>
      </c>
      <c r="L1118" s="13">
        <v>10132</v>
      </c>
      <c r="M1118" s="13">
        <v>1060</v>
      </c>
      <c r="N1118" s="13">
        <v>267</v>
      </c>
      <c r="O1118" s="15"/>
      <c r="P1118" s="6">
        <v>41608.667511574073</v>
      </c>
      <c r="Q1118" s="12"/>
      <c r="R1118" s="17" t="s">
        <v>371</v>
      </c>
      <c r="S1118" s="11" t="s">
        <v>372</v>
      </c>
      <c r="T1118" s="12"/>
      <c r="U1118" s="10" t="str">
        <f>HYPERLINK("https://pbs.twimg.com/profile_images/378800000862185241/20ij2H3u.png","View")</f>
        <v>View</v>
      </c>
    </row>
    <row r="1119" spans="1:21" ht="40.799999999999997">
      <c r="A1119" s="6">
        <v>43419.913645833338</v>
      </c>
      <c r="B1119" s="7" t="str">
        <f>HYPERLINK("https://twitter.com/TITOBENET","@TITOBENET")</f>
        <v>@TITOBENET</v>
      </c>
      <c r="C1119" s="8" t="s">
        <v>4516</v>
      </c>
      <c r="D1119" s="9" t="s">
        <v>3908</v>
      </c>
      <c r="E1119" s="10" t="str">
        <f>HYPERLINK("https://twitter.com/TITOBENET/status/1063173706757881856","1063173706757881856")</f>
        <v>1063173706757881856</v>
      </c>
      <c r="F1119" s="11" t="s">
        <v>2433</v>
      </c>
      <c r="G1119" s="12"/>
      <c r="H1119" s="12"/>
      <c r="I1119" s="13">
        <v>0</v>
      </c>
      <c r="J1119" s="13">
        <v>0</v>
      </c>
      <c r="K1119" s="14" t="str">
        <f t="shared" ref="K1119:K1126" si="322">HYPERLINK("http://twitter.com/download/android","Twitter for Android")</f>
        <v>Twitter for Android</v>
      </c>
      <c r="L1119" s="13">
        <v>264</v>
      </c>
      <c r="M1119" s="13">
        <v>1159</v>
      </c>
      <c r="N1119" s="13">
        <v>10</v>
      </c>
      <c r="O1119" s="15"/>
      <c r="P1119" s="6">
        <v>40381.63899305556</v>
      </c>
      <c r="Q1119" s="16" t="s">
        <v>4520</v>
      </c>
      <c r="R1119" s="17" t="s">
        <v>4521</v>
      </c>
      <c r="S1119" s="12"/>
      <c r="T1119" s="12"/>
      <c r="U1119" s="10" t="str">
        <f>HYPERLINK("https://pbs.twimg.com/profile_images/869277256874635264/qtOHCfCm.jpg","View")</f>
        <v>View</v>
      </c>
    </row>
    <row r="1120" spans="1:21" ht="20.399999999999999">
      <c r="A1120" s="6">
        <v>43419.912893518514</v>
      </c>
      <c r="B1120" s="7" t="str">
        <f>HYPERLINK("https://twitter.com/caencomonueces","@caencomonueces")</f>
        <v>@caencomonueces</v>
      </c>
      <c r="C1120" s="8" t="s">
        <v>1885</v>
      </c>
      <c r="D1120" s="9" t="s">
        <v>4372</v>
      </c>
      <c r="E1120" s="10" t="str">
        <f>HYPERLINK("https://twitter.com/caencomonueces/status/1063173435851972608","1063173435851972608")</f>
        <v>1063173435851972608</v>
      </c>
      <c r="F1120" s="11" t="s">
        <v>4373</v>
      </c>
      <c r="G1120" s="12"/>
      <c r="H1120" s="12"/>
      <c r="I1120" s="13">
        <v>0</v>
      </c>
      <c r="J1120" s="13">
        <v>0</v>
      </c>
      <c r="K1120" s="14" t="str">
        <f t="shared" si="322"/>
        <v>Twitter for Android</v>
      </c>
      <c r="L1120" s="13">
        <v>629</v>
      </c>
      <c r="M1120" s="13">
        <v>1153</v>
      </c>
      <c r="N1120" s="13">
        <v>3</v>
      </c>
      <c r="O1120" s="15"/>
      <c r="P1120" s="6">
        <v>41242.801539351851</v>
      </c>
      <c r="Q1120" s="16" t="s">
        <v>698</v>
      </c>
      <c r="R1120" s="17" t="s">
        <v>1888</v>
      </c>
      <c r="S1120" s="12"/>
      <c r="T1120" s="12"/>
      <c r="U1120" s="10" t="str">
        <f>HYPERLINK("https://pbs.twimg.com/profile_images/802542076420378628/S_52YFJA.jpg","View")</f>
        <v>View</v>
      </c>
    </row>
    <row r="1121" spans="1:21" ht="20.399999999999999">
      <c r="A1121" s="6">
        <v>43419.912453703699</v>
      </c>
      <c r="B1121" s="7" t="str">
        <f>HYPERLINK("https://twitter.com/JesusRomeroLeon","@JesusRomeroLeon")</f>
        <v>@JesusRomeroLeon</v>
      </c>
      <c r="C1121" s="8" t="s">
        <v>257</v>
      </c>
      <c r="D1121" s="9" t="s">
        <v>2432</v>
      </c>
      <c r="E1121" s="10" t="str">
        <f>HYPERLINK("https://twitter.com/JesusRomeroLeon/status/1063173277181448193","1063173277181448193")</f>
        <v>1063173277181448193</v>
      </c>
      <c r="F1121" s="11" t="s">
        <v>3042</v>
      </c>
      <c r="G1121" s="12"/>
      <c r="H1121" s="12"/>
      <c r="I1121" s="13">
        <v>0</v>
      </c>
      <c r="J1121" s="13">
        <v>0</v>
      </c>
      <c r="K1121" s="14" t="str">
        <f t="shared" si="322"/>
        <v>Twitter for Android</v>
      </c>
      <c r="L1121" s="13">
        <v>888</v>
      </c>
      <c r="M1121" s="13">
        <v>908</v>
      </c>
      <c r="N1121" s="13">
        <v>56</v>
      </c>
      <c r="O1121" s="15"/>
      <c r="P1121" s="6">
        <v>40074.800462962965</v>
      </c>
      <c r="Q1121" s="16" t="s">
        <v>259</v>
      </c>
      <c r="R1121" s="17" t="s">
        <v>260</v>
      </c>
      <c r="S1121" s="12"/>
      <c r="T1121" s="12"/>
      <c r="U1121" s="10" t="str">
        <f>HYPERLINK("https://pbs.twimg.com/profile_images/1048511285464387584/35I-j85n.jpg","View")</f>
        <v>View</v>
      </c>
    </row>
    <row r="1122" spans="1:21" ht="61.2">
      <c r="A1122" s="6">
        <v>43419.910995370374</v>
      </c>
      <c r="B1122" s="7" t="str">
        <f>HYPERLINK("https://twitter.com/superspain83","@superspain83")</f>
        <v>@superspain83</v>
      </c>
      <c r="C1122" s="8" t="s">
        <v>776</v>
      </c>
      <c r="D1122" s="9" t="s">
        <v>3675</v>
      </c>
      <c r="E1122" s="10" t="str">
        <f>HYPERLINK("https://twitter.com/superspain83/status/1063172747591856128","1063172747591856128")</f>
        <v>1063172747591856128</v>
      </c>
      <c r="F1122" s="12"/>
      <c r="G1122" s="12"/>
      <c r="H1122" s="12"/>
      <c r="I1122" s="13">
        <v>0</v>
      </c>
      <c r="J1122" s="13">
        <v>0</v>
      </c>
      <c r="K1122" s="14" t="str">
        <f t="shared" si="322"/>
        <v>Twitter for Android</v>
      </c>
      <c r="L1122" s="13">
        <v>118</v>
      </c>
      <c r="M1122" s="13">
        <v>419</v>
      </c>
      <c r="N1122" s="13">
        <v>0</v>
      </c>
      <c r="O1122" s="15"/>
      <c r="P1122" s="6">
        <v>41946.566562499997</v>
      </c>
      <c r="Q1122" s="16" t="s">
        <v>779</v>
      </c>
      <c r="R1122" s="17" t="s">
        <v>780</v>
      </c>
      <c r="S1122" s="12"/>
      <c r="T1122" s="12"/>
      <c r="U1122" s="10" t="str">
        <f>HYPERLINK("https://pbs.twimg.com/profile_images/958107082250694656/l5HBQT4e.jpg","View")</f>
        <v>View</v>
      </c>
    </row>
    <row r="1123" spans="1:21" ht="51">
      <c r="A1123" s="6">
        <v>43419.909502314811</v>
      </c>
      <c r="B1123" s="7" t="str">
        <f>HYPERLINK("https://twitter.com/carlxsamo","@carlxsamo")</f>
        <v>@carlxsamo</v>
      </c>
      <c r="C1123" s="8" t="s">
        <v>4528</v>
      </c>
      <c r="D1123" s="9" t="s">
        <v>4529</v>
      </c>
      <c r="E1123" s="10" t="str">
        <f>HYPERLINK("https://twitter.com/carlxsamo/status/1063172206295945218","1063172206295945218")</f>
        <v>1063172206295945218</v>
      </c>
      <c r="F1123" s="11" t="s">
        <v>2433</v>
      </c>
      <c r="G1123" s="12"/>
      <c r="H1123" s="12"/>
      <c r="I1123" s="13">
        <v>0</v>
      </c>
      <c r="J1123" s="13">
        <v>0</v>
      </c>
      <c r="K1123" s="14" t="str">
        <f t="shared" si="322"/>
        <v>Twitter for Android</v>
      </c>
      <c r="L1123" s="13">
        <v>1377</v>
      </c>
      <c r="M1123" s="13">
        <v>2100</v>
      </c>
      <c r="N1123" s="13">
        <v>59</v>
      </c>
      <c r="O1123" s="15"/>
      <c r="P1123" s="6">
        <v>40944.532256944447</v>
      </c>
      <c r="Q1123" s="16" t="s">
        <v>4531</v>
      </c>
      <c r="R1123" s="17" t="s">
        <v>4532</v>
      </c>
      <c r="S1123" s="11" t="s">
        <v>4533</v>
      </c>
      <c r="T1123" s="12"/>
      <c r="U1123" s="10" t="str">
        <f>HYPERLINK("https://pbs.twimg.com/profile_images/1047107402326319104/tkZwV8D_.jpg","View")</f>
        <v>View</v>
      </c>
    </row>
    <row r="1124" spans="1:21" ht="40.799999999999997">
      <c r="A1124" s="6">
        <v>43419.907893518517</v>
      </c>
      <c r="B1124" s="7" t="str">
        <f>HYPERLINK("https://twitter.com/VAMarcosL","@VAMarcosL")</f>
        <v>@VAMarcosL</v>
      </c>
      <c r="C1124" s="8" t="s">
        <v>4534</v>
      </c>
      <c r="D1124" s="9" t="s">
        <v>3908</v>
      </c>
      <c r="E1124" s="10" t="str">
        <f>HYPERLINK("https://twitter.com/VAMarcosL/status/1063171624474734593","1063171624474734593")</f>
        <v>1063171624474734593</v>
      </c>
      <c r="F1124" s="11" t="s">
        <v>2433</v>
      </c>
      <c r="G1124" s="12"/>
      <c r="H1124" s="12"/>
      <c r="I1124" s="13">
        <v>0</v>
      </c>
      <c r="J1124" s="13">
        <v>0</v>
      </c>
      <c r="K1124" s="14" t="str">
        <f t="shared" si="322"/>
        <v>Twitter for Android</v>
      </c>
      <c r="L1124" s="13">
        <v>2423</v>
      </c>
      <c r="M1124" s="13">
        <v>2414</v>
      </c>
      <c r="N1124" s="13">
        <v>70</v>
      </c>
      <c r="O1124" s="15"/>
      <c r="P1124" s="6">
        <v>40608.82340277778</v>
      </c>
      <c r="Q1124" s="16" t="s">
        <v>4536</v>
      </c>
      <c r="R1124" s="17" t="s">
        <v>4537</v>
      </c>
      <c r="S1124" s="12"/>
      <c r="T1124" s="12"/>
      <c r="U1124" s="10" t="str">
        <f>HYPERLINK("https://pbs.twimg.com/profile_images/970324059090313218/ltowCBEJ.jpg","View")</f>
        <v>View</v>
      </c>
    </row>
    <row r="1125" spans="1:21" ht="51">
      <c r="A1125" s="6">
        <v>43419.907662037032</v>
      </c>
      <c r="B1125" s="7" t="str">
        <f>HYPERLINK("https://twitter.com/Betisebasta21","@Betisebasta21")</f>
        <v>@Betisebasta21</v>
      </c>
      <c r="C1125" s="8" t="s">
        <v>3676</v>
      </c>
      <c r="D1125" s="9" t="s">
        <v>3677</v>
      </c>
      <c r="E1125" s="10" t="str">
        <f>HYPERLINK("https://twitter.com/Betisebasta21/status/1063171537749053445","1063171537749053445")</f>
        <v>1063171537749053445</v>
      </c>
      <c r="F1125" s="12"/>
      <c r="G1125" s="11" t="s">
        <v>3678</v>
      </c>
      <c r="H1125" s="12"/>
      <c r="I1125" s="13">
        <v>0</v>
      </c>
      <c r="J1125" s="13">
        <v>1</v>
      </c>
      <c r="K1125" s="14" t="str">
        <f t="shared" si="322"/>
        <v>Twitter for Android</v>
      </c>
      <c r="L1125" s="13">
        <v>183</v>
      </c>
      <c r="M1125" s="13">
        <v>436</v>
      </c>
      <c r="N1125" s="13">
        <v>0</v>
      </c>
      <c r="O1125" s="15"/>
      <c r="P1125" s="6">
        <v>43385.08766203704</v>
      </c>
      <c r="Q1125" s="16" t="s">
        <v>3679</v>
      </c>
      <c r="R1125" s="17" t="s">
        <v>3680</v>
      </c>
      <c r="S1125" s="12"/>
      <c r="T1125" s="12"/>
      <c r="U1125" s="10" t="str">
        <f>HYPERLINK("https://pbs.twimg.com/profile_images/1061043598202953728/S5h94w39.jpg","View")</f>
        <v>View</v>
      </c>
    </row>
    <row r="1126" spans="1:21" ht="40.799999999999997">
      <c r="A1126" s="6">
        <v>43419.907083333332</v>
      </c>
      <c r="B1126" s="7" t="str">
        <f>HYPERLINK("https://twitter.com/_Juan__A","@_Juan__A")</f>
        <v>@_Juan__A</v>
      </c>
      <c r="C1126" s="8" t="s">
        <v>3173</v>
      </c>
      <c r="D1126" s="9" t="s">
        <v>4543</v>
      </c>
      <c r="E1126" s="10" t="str">
        <f>HYPERLINK("https://twitter.com/_Juan__A/status/1063171330357510146","1063171330357510146")</f>
        <v>1063171330357510146</v>
      </c>
      <c r="F1126" s="12"/>
      <c r="G1126" s="11" t="s">
        <v>4545</v>
      </c>
      <c r="H1126" s="12"/>
      <c r="I1126" s="13">
        <v>4</v>
      </c>
      <c r="J1126" s="13">
        <v>4</v>
      </c>
      <c r="K1126" s="14" t="str">
        <f t="shared" si="322"/>
        <v>Twitter for Android</v>
      </c>
      <c r="L1126" s="13">
        <v>3912</v>
      </c>
      <c r="M1126" s="13">
        <v>3754</v>
      </c>
      <c r="N1126" s="13">
        <v>14</v>
      </c>
      <c r="O1126" s="15"/>
      <c r="P1126" s="6">
        <v>42359.794803240744</v>
      </c>
      <c r="Q1126" s="12"/>
      <c r="R1126" s="17" t="s">
        <v>4547</v>
      </c>
      <c r="S1126" s="12"/>
      <c r="T1126" s="12"/>
      <c r="U1126" s="10" t="str">
        <f>HYPERLINK("https://pbs.twimg.com/profile_images/1030067801816530946/hR_kaHH1.jpg","View")</f>
        <v>View</v>
      </c>
    </row>
    <row r="1127" spans="1:21" ht="51">
      <c r="A1127" s="6">
        <v>43419.906527777777</v>
      </c>
      <c r="B1127" s="7" t="str">
        <f>HYPERLINK("https://twitter.com/diariobalear_es","@diariobalear_es")</f>
        <v>@diariobalear_es</v>
      </c>
      <c r="C1127" s="8" t="s">
        <v>672</v>
      </c>
      <c r="D1127" s="9" t="s">
        <v>3681</v>
      </c>
      <c r="E1127" s="10" t="str">
        <f>HYPERLINK("https://twitter.com/diariobalear_es/status/1063171128129138689","1063171128129138689")</f>
        <v>1063171128129138689</v>
      </c>
      <c r="F1127" s="11" t="s">
        <v>3682</v>
      </c>
      <c r="G1127" s="12"/>
      <c r="H1127" s="12"/>
      <c r="I1127" s="13">
        <v>10</v>
      </c>
      <c r="J1127" s="13">
        <v>17</v>
      </c>
      <c r="K1127" s="14" t="str">
        <f>HYPERLINK("http://twitter.com","Twitter Web Client")</f>
        <v>Twitter Web Client</v>
      </c>
      <c r="L1127" s="13">
        <v>3196</v>
      </c>
      <c r="M1127" s="13">
        <v>347</v>
      </c>
      <c r="N1127" s="13">
        <v>71</v>
      </c>
      <c r="O1127" s="15"/>
      <c r="P1127" s="6">
        <v>41694.754687499997</v>
      </c>
      <c r="Q1127" s="16" t="s">
        <v>675</v>
      </c>
      <c r="R1127" s="17" t="s">
        <v>676</v>
      </c>
      <c r="S1127" s="11" t="s">
        <v>677</v>
      </c>
      <c r="T1127" s="12"/>
      <c r="U1127" s="10" t="str">
        <f>HYPERLINK("https://pbs.twimg.com/profile_images/992417277797597184/28OVRjFF.jpg","View")</f>
        <v>View</v>
      </c>
    </row>
    <row r="1128" spans="1:21" ht="40.799999999999997">
      <c r="A1128" s="6">
        <v>43419.905706018515</v>
      </c>
      <c r="B1128" s="7" t="str">
        <f>HYPERLINK("https://twitter.com/El_Intermedio","@El_Intermedio")</f>
        <v>@El_Intermedio</v>
      </c>
      <c r="C1128" s="8" t="s">
        <v>4552</v>
      </c>
      <c r="D1128" s="9" t="s">
        <v>4553</v>
      </c>
      <c r="E1128" s="10" t="str">
        <f>HYPERLINK("https://twitter.com/El_Intermedio/status/1063170829620436992","1063170829620436992")</f>
        <v>1063170829620436992</v>
      </c>
      <c r="F1128" s="11" t="s">
        <v>4555</v>
      </c>
      <c r="G1128" s="11" t="s">
        <v>4556</v>
      </c>
      <c r="H1128" s="12"/>
      <c r="I1128" s="13">
        <v>6</v>
      </c>
      <c r="J1128" s="13">
        <v>21</v>
      </c>
      <c r="K1128" s="14" t="str">
        <f>HYPERLINK("http://snappytv.com","SnappyTV.com")</f>
        <v>SnappyTV.com</v>
      </c>
      <c r="L1128" s="13">
        <v>1009814</v>
      </c>
      <c r="M1128" s="13">
        <v>1771</v>
      </c>
      <c r="N1128" s="13">
        <v>4849</v>
      </c>
      <c r="O1128" s="23" t="s">
        <v>186</v>
      </c>
      <c r="P1128" s="6">
        <v>39692.485879629632</v>
      </c>
      <c r="Q1128" s="16" t="s">
        <v>66</v>
      </c>
      <c r="R1128" s="17" t="s">
        <v>4561</v>
      </c>
      <c r="S1128" s="11" t="s">
        <v>4562</v>
      </c>
      <c r="T1128" s="12"/>
      <c r="U1128" s="10" t="str">
        <f>HYPERLINK("https://pbs.twimg.com/profile_images/1037049026523348992/kW9y-kbu.jpg","View")</f>
        <v>View</v>
      </c>
    </row>
    <row r="1129" spans="1:21" ht="51">
      <c r="A1129" s="6">
        <v>43419.898993055554</v>
      </c>
      <c r="B1129" s="7" t="str">
        <f>HYPERLINK("https://twitter.com/AlcaideMarga","@AlcaideMarga")</f>
        <v>@AlcaideMarga</v>
      </c>
      <c r="C1129" s="8" t="s">
        <v>4563</v>
      </c>
      <c r="D1129" s="9" t="s">
        <v>4564</v>
      </c>
      <c r="E1129" s="10" t="str">
        <f>HYPERLINK("https://twitter.com/AlcaideMarga/status/1063168399315009537","1063168399315009537")</f>
        <v>1063168399315009537</v>
      </c>
      <c r="F1129" s="11" t="s">
        <v>2433</v>
      </c>
      <c r="G1129" s="12"/>
      <c r="H1129" s="12"/>
      <c r="I1129" s="13">
        <v>21</v>
      </c>
      <c r="J1129" s="13">
        <v>23</v>
      </c>
      <c r="K1129" s="14" t="str">
        <f>HYPERLINK("http://twitter.com/download/android","Twitter for Android")</f>
        <v>Twitter for Android</v>
      </c>
      <c r="L1129" s="13">
        <v>775</v>
      </c>
      <c r="M1129" s="13">
        <v>1215</v>
      </c>
      <c r="N1129" s="13">
        <v>3</v>
      </c>
      <c r="O1129" s="15"/>
      <c r="P1129" s="6">
        <v>43105.863912037035</v>
      </c>
      <c r="Q1129" s="16" t="s">
        <v>1483</v>
      </c>
      <c r="R1129" s="17" t="s">
        <v>4566</v>
      </c>
      <c r="S1129" s="12"/>
      <c r="T1129" s="12"/>
      <c r="U1129" s="10" t="str">
        <f>HYPERLINK("https://pbs.twimg.com/profile_images/1051525111914860544/HP0510BS.jpg","View")</f>
        <v>View</v>
      </c>
    </row>
    <row r="1130" spans="1:21" ht="30.6">
      <c r="A1130" s="6">
        <v>43419.894375000003</v>
      </c>
      <c r="B1130" s="7" t="str">
        <f>HYPERLINK("https://twitter.com/joseletristan","@joseletristan")</f>
        <v>@joseletristan</v>
      </c>
      <c r="C1130" s="8" t="s">
        <v>3685</v>
      </c>
      <c r="D1130" s="9" t="s">
        <v>3686</v>
      </c>
      <c r="E1130" s="10" t="str">
        <f>HYPERLINK("https://twitter.com/joseletristan/status/1063166725817024513","1063166725817024513")</f>
        <v>1063166725817024513</v>
      </c>
      <c r="F1130" s="12"/>
      <c r="G1130" s="12"/>
      <c r="H1130" s="12"/>
      <c r="I1130" s="13">
        <v>0</v>
      </c>
      <c r="J1130" s="13">
        <v>0</v>
      </c>
      <c r="K1130" s="14" t="str">
        <f>HYPERLINK("http://twitter.com/download/iphone","Twitter for iPhone")</f>
        <v>Twitter for iPhone</v>
      </c>
      <c r="L1130" s="13">
        <v>173</v>
      </c>
      <c r="M1130" s="13">
        <v>209</v>
      </c>
      <c r="N1130" s="13">
        <v>3</v>
      </c>
      <c r="O1130" s="15"/>
      <c r="P1130" s="6">
        <v>40811.772627314815</v>
      </c>
      <c r="Q1130" s="16" t="s">
        <v>225</v>
      </c>
      <c r="R1130" s="17" t="s">
        <v>3690</v>
      </c>
      <c r="S1130" s="12"/>
      <c r="T1130" s="12"/>
      <c r="U1130" s="10" t="str">
        <f>HYPERLINK("https://pbs.twimg.com/profile_images/1000374663128797184/yC9dvRbC.jpg","View")</f>
        <v>View</v>
      </c>
    </row>
    <row r="1131" spans="1:21" ht="40.799999999999997">
      <c r="A1131" s="6">
        <v>43419.894178240742</v>
      </c>
      <c r="B1131" s="7" t="str">
        <f>HYPERLINK("https://twitter.com/Jam1Juan","@Jam1Juan")</f>
        <v>@Jam1Juan</v>
      </c>
      <c r="C1131" s="8" t="s">
        <v>241</v>
      </c>
      <c r="D1131" s="9" t="s">
        <v>3691</v>
      </c>
      <c r="E1131" s="10" t="str">
        <f>HYPERLINK("https://twitter.com/Jam1Juan/status/1063166654258053120","1063166654258053120")</f>
        <v>1063166654258053120</v>
      </c>
      <c r="F1131" s="11" t="s">
        <v>3692</v>
      </c>
      <c r="G1131" s="12"/>
      <c r="H1131" s="12"/>
      <c r="I1131" s="13">
        <v>6</v>
      </c>
      <c r="J1131" s="13">
        <v>5</v>
      </c>
      <c r="K1131" s="14" t="str">
        <f t="shared" ref="K1131:K1133" si="323">HYPERLINK("http://twitter.com/download/android","Twitter for Android")</f>
        <v>Twitter for Android</v>
      </c>
      <c r="L1131" s="13">
        <v>7882</v>
      </c>
      <c r="M1131" s="13">
        <v>6326</v>
      </c>
      <c r="N1131" s="13">
        <v>94</v>
      </c>
      <c r="O1131" s="15"/>
      <c r="P1131" s="6">
        <v>41130.512592592597</v>
      </c>
      <c r="Q1131" s="16" t="s">
        <v>244</v>
      </c>
      <c r="R1131" s="17" t="s">
        <v>245</v>
      </c>
      <c r="S1131" s="12"/>
      <c r="T1131" s="12"/>
      <c r="U1131" s="10" t="str">
        <f>HYPERLINK("https://pbs.twimg.com/profile_images/742352397314314240/2R45Yx63.jpg","View")</f>
        <v>View</v>
      </c>
    </row>
    <row r="1132" spans="1:21" ht="20.399999999999999">
      <c r="A1132" s="6">
        <v>43419.891944444447</v>
      </c>
      <c r="B1132" s="7" t="str">
        <f>HYPERLINK("https://twitter.com/caencomonueces","@caencomonueces")</f>
        <v>@caencomonueces</v>
      </c>
      <c r="C1132" s="8" t="s">
        <v>1885</v>
      </c>
      <c r="D1132" s="9" t="s">
        <v>3908</v>
      </c>
      <c r="E1132" s="10" t="str">
        <f>HYPERLINK("https://twitter.com/caencomonueces/status/1063165842131742721","1063165842131742721")</f>
        <v>1063165842131742721</v>
      </c>
      <c r="F1132" s="11" t="s">
        <v>2433</v>
      </c>
      <c r="G1132" s="12"/>
      <c r="H1132" s="12"/>
      <c r="I1132" s="13">
        <v>0</v>
      </c>
      <c r="J1132" s="13">
        <v>0</v>
      </c>
      <c r="K1132" s="14" t="str">
        <f t="shared" si="323"/>
        <v>Twitter for Android</v>
      </c>
      <c r="L1132" s="13">
        <v>629</v>
      </c>
      <c r="M1132" s="13">
        <v>1153</v>
      </c>
      <c r="N1132" s="13">
        <v>3</v>
      </c>
      <c r="O1132" s="15"/>
      <c r="P1132" s="6">
        <v>41242.801539351851</v>
      </c>
      <c r="Q1132" s="16" t="s">
        <v>698</v>
      </c>
      <c r="R1132" s="17" t="s">
        <v>1888</v>
      </c>
      <c r="S1132" s="12"/>
      <c r="T1132" s="12"/>
      <c r="U1132" s="10" t="str">
        <f>HYPERLINK("https://pbs.twimg.com/profile_images/802542076420378628/S_52YFJA.jpg","View")</f>
        <v>View</v>
      </c>
    </row>
    <row r="1133" spans="1:21" ht="30.6">
      <c r="A1133" s="6">
        <v>43419.889548611114</v>
      </c>
      <c r="B1133" s="7" t="str">
        <f>HYPERLINK("https://twitter.com/nostraeuropa","@nostraeuropa")</f>
        <v>@nostraeuropa</v>
      </c>
      <c r="C1133" s="8" t="s">
        <v>3693</v>
      </c>
      <c r="D1133" s="9" t="s">
        <v>3694</v>
      </c>
      <c r="E1133" s="10" t="str">
        <f>HYPERLINK("https://twitter.com/nostraeuropa/status/1063164974472814592","1063164974472814592")</f>
        <v>1063164974472814592</v>
      </c>
      <c r="F1133" s="12"/>
      <c r="G1133" s="11" t="s">
        <v>3696</v>
      </c>
      <c r="H1133" s="12"/>
      <c r="I1133" s="13">
        <v>0</v>
      </c>
      <c r="J1133" s="13">
        <v>1</v>
      </c>
      <c r="K1133" s="14" t="str">
        <f t="shared" si="323"/>
        <v>Twitter for Android</v>
      </c>
      <c r="L1133" s="13">
        <v>791</v>
      </c>
      <c r="M1133" s="13">
        <v>1315</v>
      </c>
      <c r="N1133" s="13">
        <v>10</v>
      </c>
      <c r="O1133" s="15"/>
      <c r="P1133" s="6">
        <v>41010.546446759261</v>
      </c>
      <c r="Q1133" s="16" t="s">
        <v>3697</v>
      </c>
      <c r="R1133" s="17" t="s">
        <v>3698</v>
      </c>
      <c r="S1133" s="12"/>
      <c r="T1133" s="12"/>
      <c r="U1133" s="10" t="str">
        <f>HYPERLINK("https://pbs.twimg.com/profile_images/1033810417481658368/APoCNDCc.jpg","View")</f>
        <v>View</v>
      </c>
    </row>
    <row r="1134" spans="1:21" ht="40.799999999999997">
      <c r="A1134" s="6">
        <v>43419.884699074071</v>
      </c>
      <c r="B1134" s="7" t="str">
        <f>HYPERLINK("https://twitter.com/bellaindomita","@bellaindomita")</f>
        <v>@bellaindomita</v>
      </c>
      <c r="C1134" s="8" t="s">
        <v>3701</v>
      </c>
      <c r="D1134" s="9" t="s">
        <v>3702</v>
      </c>
      <c r="E1134" s="10" t="str">
        <f>HYPERLINK("https://twitter.com/bellaindomita/status/1063163219978711040","1063163219978711040")</f>
        <v>1063163219978711040</v>
      </c>
      <c r="F1134" s="12"/>
      <c r="G1134" s="12"/>
      <c r="H1134" s="12"/>
      <c r="I1134" s="13">
        <v>5</v>
      </c>
      <c r="J1134" s="13">
        <v>24</v>
      </c>
      <c r="K1134" s="14" t="str">
        <f>HYPERLINK("http://twitter.com/download/iphone","Twitter for iPhone")</f>
        <v>Twitter for iPhone</v>
      </c>
      <c r="L1134" s="13">
        <v>13823</v>
      </c>
      <c r="M1134" s="13">
        <v>614</v>
      </c>
      <c r="N1134" s="13">
        <v>211</v>
      </c>
      <c r="O1134" s="15"/>
      <c r="P1134" s="6">
        <v>39875.495624999996</v>
      </c>
      <c r="Q1134" s="16" t="s">
        <v>3703</v>
      </c>
      <c r="R1134" s="17" t="s">
        <v>3704</v>
      </c>
      <c r="S1134" s="11" t="s">
        <v>3705</v>
      </c>
      <c r="T1134" s="12"/>
      <c r="U1134" s="10" t="str">
        <f>HYPERLINK("https://pbs.twimg.com/profile_images/1019999886375256066/57A9nYKn.jpg","View")</f>
        <v>View</v>
      </c>
    </row>
    <row r="1135" spans="1:21" ht="51">
      <c r="A1135" s="6">
        <v>43419.881076388891</v>
      </c>
      <c r="B1135" s="7" t="str">
        <f>HYPERLINK("https://twitter.com/Ferfersix","@Ferfersix")</f>
        <v>@Ferfersix</v>
      </c>
      <c r="C1135" s="8" t="s">
        <v>3706</v>
      </c>
      <c r="D1135" s="9" t="s">
        <v>3707</v>
      </c>
      <c r="E1135" s="10" t="str">
        <f>HYPERLINK("https://twitter.com/Ferfersix/status/1063161906544943104","1063161906544943104")</f>
        <v>1063161906544943104</v>
      </c>
      <c r="F1135" s="16" t="s">
        <v>3708</v>
      </c>
      <c r="G1135" s="12"/>
      <c r="H1135" s="12"/>
      <c r="I1135" s="13">
        <v>0</v>
      </c>
      <c r="J1135" s="13">
        <v>0</v>
      </c>
      <c r="K1135" s="14" t="str">
        <f>HYPERLINK("http://twitter.com","Twitter Web Client")</f>
        <v>Twitter Web Client</v>
      </c>
      <c r="L1135" s="13">
        <v>1035</v>
      </c>
      <c r="M1135" s="13">
        <v>991</v>
      </c>
      <c r="N1135" s="13">
        <v>15</v>
      </c>
      <c r="O1135" s="15"/>
      <c r="P1135" s="6">
        <v>40806.998043981483</v>
      </c>
      <c r="Q1135" s="16" t="s">
        <v>66</v>
      </c>
      <c r="R1135" s="17" t="s">
        <v>3709</v>
      </c>
      <c r="S1135" s="12"/>
      <c r="T1135" s="12"/>
      <c r="U1135" s="10" t="str">
        <f>HYPERLINK("https://pbs.twimg.com/profile_images/1007795936972730368/0s0N9SNN.jpg","View")</f>
        <v>View</v>
      </c>
    </row>
    <row r="1136" spans="1:21" ht="91.8">
      <c r="A1136" s="6">
        <v>43419.880520833336</v>
      </c>
      <c r="B1136" s="7" t="str">
        <f>HYPERLINK("https://twitter.com/topchemi1999","@topchemi1999")</f>
        <v>@topchemi1999</v>
      </c>
      <c r="C1136" s="8" t="s">
        <v>3710</v>
      </c>
      <c r="D1136" s="9" t="s">
        <v>3711</v>
      </c>
      <c r="E1136" s="10" t="str">
        <f>HYPERLINK("https://twitter.com/topchemi1999/status/1063161704132042752","1063161704132042752")</f>
        <v>1063161704132042752</v>
      </c>
      <c r="F1136" s="11" t="s">
        <v>3712</v>
      </c>
      <c r="G1136" s="11" t="s">
        <v>3713</v>
      </c>
      <c r="H1136" s="12"/>
      <c r="I1136" s="13">
        <v>0</v>
      </c>
      <c r="J1136" s="13">
        <v>0</v>
      </c>
      <c r="K1136" s="14" t="str">
        <f>HYPERLINK("http://twitter.com/download/android","Twitter for Android")</f>
        <v>Twitter for Android</v>
      </c>
      <c r="L1136" s="13">
        <v>177</v>
      </c>
      <c r="M1136" s="13">
        <v>337</v>
      </c>
      <c r="N1136" s="13">
        <v>1</v>
      </c>
      <c r="O1136" s="15"/>
      <c r="P1136" s="6">
        <v>41165.55972222222</v>
      </c>
      <c r="Q1136" s="16" t="s">
        <v>3714</v>
      </c>
      <c r="R1136" s="17" t="s">
        <v>3715</v>
      </c>
      <c r="S1136" s="12"/>
      <c r="T1136" s="12"/>
      <c r="U1136" s="10" t="str">
        <f>HYPERLINK("https://pbs.twimg.com/profile_images/1000027080766128128/doWO-v1I.jpg","View")</f>
        <v>View</v>
      </c>
    </row>
    <row r="1137" spans="1:21" ht="61.2">
      <c r="A1137" s="6">
        <v>43419.87976851852</v>
      </c>
      <c r="B1137" s="7" t="str">
        <f>HYPERLINK("https://twitter.com/faazmani","@faazmani")</f>
        <v>@faazmani</v>
      </c>
      <c r="C1137" s="8" t="s">
        <v>3716</v>
      </c>
      <c r="D1137" s="9" t="s">
        <v>3717</v>
      </c>
      <c r="E1137" s="10" t="str">
        <f>HYPERLINK("https://twitter.com/faazmani/status/1063161433284923392","1063161433284923392")</f>
        <v>1063161433284923392</v>
      </c>
      <c r="F1137" s="12"/>
      <c r="G1137" s="12"/>
      <c r="H1137" s="12"/>
      <c r="I1137" s="13">
        <v>2</v>
      </c>
      <c r="J1137" s="13">
        <v>2</v>
      </c>
      <c r="K1137" s="14" t="str">
        <f t="shared" ref="K1137:K1138" si="324">HYPERLINK("http://twitter.com/download/iphone","Twitter for iPhone")</f>
        <v>Twitter for iPhone</v>
      </c>
      <c r="L1137" s="13">
        <v>1600</v>
      </c>
      <c r="M1137" s="13">
        <v>538</v>
      </c>
      <c r="N1137" s="13">
        <v>54</v>
      </c>
      <c r="O1137" s="15"/>
      <c r="P1137" s="6">
        <v>41320.692708333336</v>
      </c>
      <c r="Q1137" s="12"/>
      <c r="R1137" s="17" t="s">
        <v>3718</v>
      </c>
      <c r="S1137" s="12"/>
      <c r="T1137" s="12"/>
      <c r="U1137" s="10" t="str">
        <f>HYPERLINK("https://pbs.twimg.com/profile_images/3287515161/8b6f0b247affdb975a22bfd5f54ba251.jpeg","View")</f>
        <v>View</v>
      </c>
    </row>
    <row r="1138" spans="1:21" ht="51">
      <c r="A1138" s="6">
        <v>43419.879247685181</v>
      </c>
      <c r="B1138" s="7" t="str">
        <f>HYPERLINK("https://twitter.com/AntidotoAlCaos","@AntidotoAlCaos")</f>
        <v>@AntidotoAlCaos</v>
      </c>
      <c r="C1138" s="8" t="s">
        <v>3719</v>
      </c>
      <c r="D1138" s="9" t="s">
        <v>3720</v>
      </c>
      <c r="E1138" s="10" t="str">
        <f>HYPERLINK("https://twitter.com/AntidotoAlCaos/status/1063161240640462849","1063161240640462849")</f>
        <v>1063161240640462849</v>
      </c>
      <c r="F1138" s="11" t="s">
        <v>3721</v>
      </c>
      <c r="G1138" s="12"/>
      <c r="H1138" s="12"/>
      <c r="I1138" s="13">
        <v>1</v>
      </c>
      <c r="J1138" s="13">
        <v>2</v>
      </c>
      <c r="K1138" s="14" t="str">
        <f t="shared" si="324"/>
        <v>Twitter for iPhone</v>
      </c>
      <c r="L1138" s="13">
        <v>16</v>
      </c>
      <c r="M1138" s="13">
        <v>77</v>
      </c>
      <c r="N1138" s="13">
        <v>0</v>
      </c>
      <c r="O1138" s="15"/>
      <c r="P1138" s="6">
        <v>43417.947893518518</v>
      </c>
      <c r="Q1138" s="12"/>
      <c r="R1138" s="17" t="s">
        <v>3722</v>
      </c>
      <c r="S1138" s="12"/>
      <c r="T1138" s="12"/>
      <c r="U1138" s="10" t="str">
        <f>HYPERLINK("https://pbs.twimg.com/profile_images/1062464543559954432/wkEH44Jy.jpg","View")</f>
        <v>View</v>
      </c>
    </row>
    <row r="1139" spans="1:21" ht="20.399999999999999">
      <c r="A1139" s="6">
        <v>43419.876597222217</v>
      </c>
      <c r="B1139" s="7" t="str">
        <f>HYPERLINK("https://twitter.com/JAVIER27264974","@JAVIER27264974")</f>
        <v>@JAVIER27264974</v>
      </c>
      <c r="C1139" s="8" t="s">
        <v>4584</v>
      </c>
      <c r="D1139" s="9" t="s">
        <v>3908</v>
      </c>
      <c r="E1139" s="10" t="str">
        <f>HYPERLINK("https://twitter.com/JAVIER27264974/status/1063160280782434311","1063160280782434311")</f>
        <v>1063160280782434311</v>
      </c>
      <c r="F1139" s="11" t="s">
        <v>2433</v>
      </c>
      <c r="G1139" s="12"/>
      <c r="H1139" s="12"/>
      <c r="I1139" s="13">
        <v>0</v>
      </c>
      <c r="J1139" s="13">
        <v>0</v>
      </c>
      <c r="K1139" s="14" t="str">
        <f>HYPERLINK("http://twitter.com/download/android","Twitter for Android")</f>
        <v>Twitter for Android</v>
      </c>
      <c r="L1139" s="13">
        <v>581</v>
      </c>
      <c r="M1139" s="13">
        <v>871</v>
      </c>
      <c r="N1139" s="13">
        <v>3</v>
      </c>
      <c r="O1139" s="15"/>
      <c r="P1139" s="6">
        <v>41251.571076388893</v>
      </c>
      <c r="Q1139" s="12"/>
      <c r="R1139" s="17" t="s">
        <v>4590</v>
      </c>
      <c r="S1139" s="12"/>
      <c r="T1139" s="12"/>
      <c r="U1139" s="10" t="str">
        <f>HYPERLINK("https://pbs.twimg.com/profile_images/378800000617911059/ec1a1723899ac637d7df5f4f23daa692.jpeg","View")</f>
        <v>View</v>
      </c>
    </row>
    <row r="1140" spans="1:21" ht="40.799999999999997">
      <c r="A1140" s="6">
        <v>43419.876412037032</v>
      </c>
      <c r="B1140" s="7" t="str">
        <f>HYPERLINK("https://twitter.com/Chorraera","@Chorraera")</f>
        <v>@Chorraera</v>
      </c>
      <c r="C1140" s="8" t="s">
        <v>4593</v>
      </c>
      <c r="D1140" s="9" t="s">
        <v>4594</v>
      </c>
      <c r="E1140" s="10" t="str">
        <f>HYPERLINK("https://twitter.com/Chorraera/status/1063160215514820609","1063160215514820609")</f>
        <v>1063160215514820609</v>
      </c>
      <c r="F1140" s="16" t="s">
        <v>4595</v>
      </c>
      <c r="G1140" s="11" t="s">
        <v>4597</v>
      </c>
      <c r="H1140" s="12"/>
      <c r="I1140" s="13">
        <v>0</v>
      </c>
      <c r="J1140" s="13">
        <v>0</v>
      </c>
      <c r="K1140" s="14" t="str">
        <f>HYPERLINK("http://twitter.com","Twitter Web Client")</f>
        <v>Twitter Web Client</v>
      </c>
      <c r="L1140" s="13">
        <v>2613</v>
      </c>
      <c r="M1140" s="13">
        <v>598</v>
      </c>
      <c r="N1140" s="13">
        <v>40</v>
      </c>
      <c r="O1140" s="15"/>
      <c r="P1140" s="6">
        <v>40434.627696759257</v>
      </c>
      <c r="Q1140" s="16" t="s">
        <v>1677</v>
      </c>
      <c r="R1140" s="17" t="s">
        <v>4602</v>
      </c>
      <c r="S1140" s="12"/>
      <c r="T1140" s="12"/>
      <c r="U1140" s="10" t="str">
        <f>HYPERLINK("https://pbs.twimg.com/profile_images/842329928637026305/mCi8jF9O.jpg","View")</f>
        <v>View</v>
      </c>
    </row>
    <row r="1141" spans="1:21" ht="51">
      <c r="A1141" s="6">
        <v>43419.876388888893</v>
      </c>
      <c r="B1141" s="7" t="str">
        <f>HYPERLINK("https://twitter.com/bitMomentum","@bitMomentum")</f>
        <v>@bitMomentum</v>
      </c>
      <c r="C1141" s="8" t="s">
        <v>368</v>
      </c>
      <c r="D1141" s="9" t="s">
        <v>3723</v>
      </c>
      <c r="E1141" s="10" t="str">
        <f>HYPERLINK("https://twitter.com/bitMomentum/status/1063160205398159361","1063160205398159361")</f>
        <v>1063160205398159361</v>
      </c>
      <c r="F1141" s="12"/>
      <c r="G1141" s="12"/>
      <c r="H1141" s="12"/>
      <c r="I1141" s="13">
        <v>0</v>
      </c>
      <c r="J1141" s="13">
        <v>1</v>
      </c>
      <c r="K1141" s="14" t="str">
        <f>HYPERLINK("http://www.bitmomentum.com","bitMomentum Bot")</f>
        <v>bitMomentum Bot</v>
      </c>
      <c r="L1141" s="13">
        <v>10132</v>
      </c>
      <c r="M1141" s="13">
        <v>1060</v>
      </c>
      <c r="N1141" s="13">
        <v>267</v>
      </c>
      <c r="O1141" s="15"/>
      <c r="P1141" s="6">
        <v>41608.667511574073</v>
      </c>
      <c r="Q1141" s="12"/>
      <c r="R1141" s="17" t="s">
        <v>371</v>
      </c>
      <c r="S1141" s="11" t="s">
        <v>372</v>
      </c>
      <c r="T1141" s="12"/>
      <c r="U1141" s="10" t="str">
        <f>HYPERLINK("https://pbs.twimg.com/profile_images/378800000862185241/20ij2H3u.png","View")</f>
        <v>View</v>
      </c>
    </row>
    <row r="1142" spans="1:21" ht="20.399999999999999">
      <c r="A1142" s="6">
        <v>43419.87431712963</v>
      </c>
      <c r="B1142" s="7" t="str">
        <f>HYPERLINK("https://twitter.com/sandranic59","@sandranic59")</f>
        <v>@sandranic59</v>
      </c>
      <c r="C1142" s="8" t="s">
        <v>4609</v>
      </c>
      <c r="D1142" s="9" t="s">
        <v>3908</v>
      </c>
      <c r="E1142" s="10" t="str">
        <f>HYPERLINK("https://twitter.com/sandranic59/status/1063159457557946368","1063159457557946368")</f>
        <v>1063159457557946368</v>
      </c>
      <c r="F1142" s="11" t="s">
        <v>2433</v>
      </c>
      <c r="G1142" s="12"/>
      <c r="H1142" s="12"/>
      <c r="I1142" s="13">
        <v>0</v>
      </c>
      <c r="J1142" s="13">
        <v>0</v>
      </c>
      <c r="K1142" s="14" t="str">
        <f t="shared" ref="K1142:K1144" si="325">HYPERLINK("http://twitter.com/download/android","Twitter for Android")</f>
        <v>Twitter for Android</v>
      </c>
      <c r="L1142" s="13">
        <v>214</v>
      </c>
      <c r="M1142" s="13">
        <v>759</v>
      </c>
      <c r="N1142" s="13">
        <v>4</v>
      </c>
      <c r="O1142" s="15"/>
      <c r="P1142" s="6">
        <v>40924.947129629625</v>
      </c>
      <c r="Q1142" s="16" t="s">
        <v>66</v>
      </c>
      <c r="R1142" s="21"/>
      <c r="S1142" s="12"/>
      <c r="T1142" s="12"/>
      <c r="U1142" s="10" t="str">
        <f>HYPERLINK("https://pbs.twimg.com/profile_images/980233150906425346/x1Rl6Tmv.jpg","View")</f>
        <v>View</v>
      </c>
    </row>
    <row r="1143" spans="1:21" ht="30.6">
      <c r="A1143" s="6">
        <v>43419.871400462958</v>
      </c>
      <c r="B1143" s="7" t="str">
        <f>HYPERLINK("https://twitter.com/fundlibre","@fundlibre")</f>
        <v>@fundlibre</v>
      </c>
      <c r="C1143" s="8" t="s">
        <v>3725</v>
      </c>
      <c r="D1143" s="9" t="s">
        <v>3726</v>
      </c>
      <c r="E1143" s="10" t="str">
        <f>HYPERLINK("https://twitter.com/fundlibre/status/1063158397120495616","1063158397120495616")</f>
        <v>1063158397120495616</v>
      </c>
      <c r="F1143" s="12"/>
      <c r="G1143" s="11" t="s">
        <v>3727</v>
      </c>
      <c r="H1143" s="12"/>
      <c r="I1143" s="13">
        <v>160</v>
      </c>
      <c r="J1143" s="13">
        <v>600</v>
      </c>
      <c r="K1143" s="14" t="str">
        <f t="shared" si="325"/>
        <v>Twitter for Android</v>
      </c>
      <c r="L1143" s="13">
        <v>17931</v>
      </c>
      <c r="M1143" s="13">
        <v>169</v>
      </c>
      <c r="N1143" s="13">
        <v>44</v>
      </c>
      <c r="O1143" s="15"/>
      <c r="P1143" s="6">
        <v>42920.049537037034</v>
      </c>
      <c r="Q1143" s="16" t="s">
        <v>3728</v>
      </c>
      <c r="R1143" s="17" t="s">
        <v>3729</v>
      </c>
      <c r="S1143" s="11" t="s">
        <v>3730</v>
      </c>
      <c r="T1143" s="12"/>
      <c r="U1143" s="10" t="str">
        <f>HYPERLINK("https://pbs.twimg.com/profile_images/882014478027685890/pi61sqI4.jpg","View")</f>
        <v>View</v>
      </c>
    </row>
    <row r="1144" spans="1:21" ht="40.799999999999997">
      <c r="A1144" s="6">
        <v>43419.869988425926</v>
      </c>
      <c r="B1144" s="7" t="str">
        <f>HYPERLINK("https://twitter.com/pilarwillpi","@pilarwillpi")</f>
        <v>@pilarwillpi</v>
      </c>
      <c r="C1144" s="8" t="s">
        <v>2310</v>
      </c>
      <c r="D1144" s="9" t="s">
        <v>3731</v>
      </c>
      <c r="E1144" s="10" t="str">
        <f>HYPERLINK("https://twitter.com/pilarwillpi/status/1063157886065500160","1063157886065500160")</f>
        <v>1063157886065500160</v>
      </c>
      <c r="F1144" s="12"/>
      <c r="G1144" s="11" t="s">
        <v>3732</v>
      </c>
      <c r="H1144" s="12"/>
      <c r="I1144" s="13">
        <v>0</v>
      </c>
      <c r="J1144" s="13">
        <v>4</v>
      </c>
      <c r="K1144" s="14" t="str">
        <f t="shared" si="325"/>
        <v>Twitter for Android</v>
      </c>
      <c r="L1144" s="13">
        <v>4089</v>
      </c>
      <c r="M1144" s="13">
        <v>2343</v>
      </c>
      <c r="N1144" s="13">
        <v>51</v>
      </c>
      <c r="O1144" s="15"/>
      <c r="P1144" s="6">
        <v>40566.858298611114</v>
      </c>
      <c r="Q1144" s="16" t="s">
        <v>145</v>
      </c>
      <c r="R1144" s="17" t="s">
        <v>2313</v>
      </c>
      <c r="S1144" s="12"/>
      <c r="T1144" s="12"/>
      <c r="U1144" s="10" t="str">
        <f>HYPERLINK("https://pbs.twimg.com/profile_images/1057793823814889473/zeoHIX9b.jpg","View")</f>
        <v>View</v>
      </c>
    </row>
    <row r="1145" spans="1:21" ht="30.6">
      <c r="A1145" s="6">
        <v>43419.868206018524</v>
      </c>
      <c r="B1145" s="7" t="str">
        <f>HYPERLINK("https://twitter.com/BocataJamonEHM","@BocataJamonEHM")</f>
        <v>@BocataJamonEHM</v>
      </c>
      <c r="C1145" s="8" t="s">
        <v>4620</v>
      </c>
      <c r="D1145" s="9" t="s">
        <v>4621</v>
      </c>
      <c r="E1145" s="10" t="str">
        <f>HYPERLINK("https://twitter.com/BocataJamonEHM/status/1063157242420174848","1063157242420174848")</f>
        <v>1063157242420174848</v>
      </c>
      <c r="F1145" s="12"/>
      <c r="G1145" s="12"/>
      <c r="H1145" s="12"/>
      <c r="I1145" s="13">
        <v>0</v>
      </c>
      <c r="J1145" s="13">
        <v>0</v>
      </c>
      <c r="K1145" s="14" t="str">
        <f>HYPERLINK("http://twitter.com","Twitter Web Client")</f>
        <v>Twitter Web Client</v>
      </c>
      <c r="L1145" s="13">
        <v>825</v>
      </c>
      <c r="M1145" s="13">
        <v>116</v>
      </c>
      <c r="N1145" s="13">
        <v>5</v>
      </c>
      <c r="O1145" s="15"/>
      <c r="P1145" s="6">
        <v>43277.393275462964</v>
      </c>
      <c r="Q1145" s="16" t="s">
        <v>66</v>
      </c>
      <c r="R1145" s="17" t="s">
        <v>4623</v>
      </c>
      <c r="S1145" s="12"/>
      <c r="T1145" s="12"/>
      <c r="U1145" s="10" t="str">
        <f>HYPERLINK("https://pbs.twimg.com/profile_images/1011512550989721601/nK-Sajra.jpg","View")</f>
        <v>View</v>
      </c>
    </row>
    <row r="1146" spans="1:21" ht="20.399999999999999">
      <c r="A1146" s="6">
        <v>43419.865752314814</v>
      </c>
      <c r="B1146" s="7" t="str">
        <f>HYPERLINK("https://twitter.com/amarieta","@amarieta")</f>
        <v>@amarieta</v>
      </c>
      <c r="C1146" s="8" t="s">
        <v>4625</v>
      </c>
      <c r="D1146" s="9" t="s">
        <v>3908</v>
      </c>
      <c r="E1146" s="10" t="str">
        <f>HYPERLINK("https://twitter.com/amarieta/status/1063156350614732801","1063156350614732801")</f>
        <v>1063156350614732801</v>
      </c>
      <c r="F1146" s="11" t="s">
        <v>2433</v>
      </c>
      <c r="G1146" s="12"/>
      <c r="H1146" s="12"/>
      <c r="I1146" s="13">
        <v>1</v>
      </c>
      <c r="J1146" s="13">
        <v>1</v>
      </c>
      <c r="K1146" s="14" t="str">
        <f t="shared" ref="K1146:K1148" si="326">HYPERLINK("http://twitter.com/download/android","Twitter for Android")</f>
        <v>Twitter for Android</v>
      </c>
      <c r="L1146" s="13">
        <v>330</v>
      </c>
      <c r="M1146" s="13">
        <v>658</v>
      </c>
      <c r="N1146" s="13">
        <v>3</v>
      </c>
      <c r="O1146" s="15"/>
      <c r="P1146" s="6">
        <v>40139.784409722226</v>
      </c>
      <c r="Q1146" s="16" t="s">
        <v>527</v>
      </c>
      <c r="R1146" s="21"/>
      <c r="S1146" s="12"/>
      <c r="T1146" s="12"/>
      <c r="U1146" s="10" t="str">
        <f>HYPERLINK("https://pbs.twimg.com/profile_images/1005881674012545026/HZ6vVpNp.jpg","View")</f>
        <v>View</v>
      </c>
    </row>
    <row r="1147" spans="1:21" ht="40.799999999999997">
      <c r="A1147" s="6">
        <v>43419.865624999999</v>
      </c>
      <c r="B1147" s="7" t="str">
        <f>HYPERLINK("https://twitter.com/alexurg112","@alexurg112")</f>
        <v>@alexurg112</v>
      </c>
      <c r="C1147" s="8" t="s">
        <v>3733</v>
      </c>
      <c r="D1147" s="9" t="s">
        <v>3734</v>
      </c>
      <c r="E1147" s="10" t="str">
        <f>HYPERLINK("https://twitter.com/alexurg112/status/1063156307744710657","1063156307744710657")</f>
        <v>1063156307744710657</v>
      </c>
      <c r="F1147" s="12"/>
      <c r="G1147" s="12"/>
      <c r="H1147" s="12"/>
      <c r="I1147" s="13">
        <v>0</v>
      </c>
      <c r="J1147" s="13">
        <v>0</v>
      </c>
      <c r="K1147" s="14" t="str">
        <f t="shared" si="326"/>
        <v>Twitter for Android</v>
      </c>
      <c r="L1147" s="13">
        <v>63</v>
      </c>
      <c r="M1147" s="13">
        <v>80</v>
      </c>
      <c r="N1147" s="13">
        <v>3</v>
      </c>
      <c r="O1147" s="15"/>
      <c r="P1147" s="6">
        <v>40624.036180555559</v>
      </c>
      <c r="Q1147" s="12"/>
      <c r="R1147" s="21"/>
      <c r="S1147" s="12"/>
      <c r="T1147" s="12"/>
      <c r="U1147" s="10" t="str">
        <f>HYPERLINK("https://pbs.twimg.com/profile_images/871507714987495426/H50Moe8N.jpg","View")</f>
        <v>View</v>
      </c>
    </row>
    <row r="1148" spans="1:21" ht="30.6">
      <c r="A1148" s="6">
        <v>43419.865208333329</v>
      </c>
      <c r="B1148" s="7" t="str">
        <f>HYPERLINK("https://twitter.com/DeMeison","@DeMeison")</f>
        <v>@DeMeison</v>
      </c>
      <c r="C1148" s="8" t="s">
        <v>1435</v>
      </c>
      <c r="D1148" s="9" t="s">
        <v>4634</v>
      </c>
      <c r="E1148" s="10" t="str">
        <f>HYPERLINK("https://twitter.com/DeMeison/status/1063156153385959429","1063156153385959429")</f>
        <v>1063156153385959429</v>
      </c>
      <c r="F1148" s="12"/>
      <c r="G1148" s="12"/>
      <c r="H1148" s="12"/>
      <c r="I1148" s="13">
        <v>2</v>
      </c>
      <c r="J1148" s="13">
        <v>11</v>
      </c>
      <c r="K1148" s="14" t="str">
        <f t="shared" si="326"/>
        <v>Twitter for Android</v>
      </c>
      <c r="L1148" s="13">
        <v>1567</v>
      </c>
      <c r="M1148" s="13">
        <v>1236</v>
      </c>
      <c r="N1148" s="13">
        <v>24</v>
      </c>
      <c r="O1148" s="15"/>
      <c r="P1148" s="6">
        <v>40711.818657407406</v>
      </c>
      <c r="Q1148" s="16" t="s">
        <v>1439</v>
      </c>
      <c r="R1148" s="17" t="s">
        <v>1440</v>
      </c>
      <c r="S1148" s="12"/>
      <c r="T1148" s="12"/>
      <c r="U1148" s="10" t="str">
        <f>HYPERLINK("https://pbs.twimg.com/profile_images/924658553121640448/v126-zQr.jpg","View")</f>
        <v>View</v>
      </c>
    </row>
    <row r="1149" spans="1:21" ht="51">
      <c r="A1149" s="6">
        <v>43419.858819444446</v>
      </c>
      <c r="B1149" s="7" t="str">
        <f>HYPERLINK("https://twitter.com/callejon2001","@callejon2001")</f>
        <v>@callejon2001</v>
      </c>
      <c r="C1149" s="8" t="s">
        <v>3735</v>
      </c>
      <c r="D1149" s="9" t="s">
        <v>3736</v>
      </c>
      <c r="E1149" s="10" t="str">
        <f>HYPERLINK("https://twitter.com/callejon2001/status/1063153840109826048","1063153840109826048")</f>
        <v>1063153840109826048</v>
      </c>
      <c r="F1149" s="12"/>
      <c r="G1149" s="12"/>
      <c r="H1149" s="12"/>
      <c r="I1149" s="13">
        <v>0</v>
      </c>
      <c r="J1149" s="13">
        <v>1</v>
      </c>
      <c r="K1149" s="14" t="str">
        <f>HYPERLINK("http://twitter.com/download/iphone","Twitter for iPhone")</f>
        <v>Twitter for iPhone</v>
      </c>
      <c r="L1149" s="13">
        <v>360</v>
      </c>
      <c r="M1149" s="13">
        <v>832</v>
      </c>
      <c r="N1149" s="13">
        <v>2</v>
      </c>
      <c r="O1149" s="15"/>
      <c r="P1149" s="6">
        <v>40621.846817129626</v>
      </c>
      <c r="Q1149" s="12"/>
      <c r="R1149" s="17" t="s">
        <v>3737</v>
      </c>
      <c r="S1149" s="12"/>
      <c r="T1149" s="12"/>
      <c r="U1149" s="10" t="str">
        <f>HYPERLINK("https://pbs.twimg.com/profile_images/1059178549628821504/jQCY1lqJ.jpg","View")</f>
        <v>View</v>
      </c>
    </row>
    <row r="1150" spans="1:21" ht="30.6">
      <c r="A1150" s="6">
        <v>43419.858749999999</v>
      </c>
      <c r="B1150" s="7" t="str">
        <f>HYPERLINK("https://twitter.com/Isbalt","@Isbalt")</f>
        <v>@Isbalt</v>
      </c>
      <c r="C1150" s="8" t="s">
        <v>4638</v>
      </c>
      <c r="D1150" s="9" t="s">
        <v>3908</v>
      </c>
      <c r="E1150" s="10" t="str">
        <f>HYPERLINK("https://twitter.com/Isbalt/status/1063153813417279489","1063153813417279489")</f>
        <v>1063153813417279489</v>
      </c>
      <c r="F1150" s="11" t="s">
        <v>2433</v>
      </c>
      <c r="G1150" s="12"/>
      <c r="H1150" s="12"/>
      <c r="I1150" s="13">
        <v>0</v>
      </c>
      <c r="J1150" s="13">
        <v>0</v>
      </c>
      <c r="K1150" s="14" t="str">
        <f>HYPERLINK("http://twitter.com/download/android","Twitter for Android")</f>
        <v>Twitter for Android</v>
      </c>
      <c r="L1150" s="13">
        <v>539</v>
      </c>
      <c r="M1150" s="13">
        <v>614</v>
      </c>
      <c r="N1150" s="13">
        <v>5</v>
      </c>
      <c r="O1150" s="15"/>
      <c r="P1150" s="6">
        <v>42894.976099537038</v>
      </c>
      <c r="Q1150" s="12"/>
      <c r="R1150" s="17" t="s">
        <v>4639</v>
      </c>
      <c r="S1150" s="12"/>
      <c r="T1150" s="12"/>
      <c r="U1150" s="10" t="str">
        <f>HYPERLINK("https://pbs.twimg.com/profile_images/1048866694834393089/QvK8WFZZ.jpg","View")</f>
        <v>View</v>
      </c>
    </row>
    <row r="1151" spans="1:21" ht="40.799999999999997">
      <c r="A1151" s="6">
        <v>43419.855439814812</v>
      </c>
      <c r="B1151" s="7" t="str">
        <f>HYPERLINK("https://twitter.com/SergyDiazKraken","@SergyDiazKraken")</f>
        <v>@SergyDiazKraken</v>
      </c>
      <c r="C1151" s="8" t="s">
        <v>3738</v>
      </c>
      <c r="D1151" s="9" t="s">
        <v>3739</v>
      </c>
      <c r="E1151" s="10" t="str">
        <f>HYPERLINK("https://twitter.com/SergyDiazKraken/status/1063152615108866050","1063152615108866050")</f>
        <v>1063152615108866050</v>
      </c>
      <c r="F1151" s="12"/>
      <c r="G1151" s="12"/>
      <c r="H1151" s="12"/>
      <c r="I1151" s="13">
        <v>1</v>
      </c>
      <c r="J1151" s="13">
        <v>1</v>
      </c>
      <c r="K1151" s="14" t="str">
        <f>HYPERLINK("http://twitter.com","Twitter Web Client")</f>
        <v>Twitter Web Client</v>
      </c>
      <c r="L1151" s="13">
        <v>544</v>
      </c>
      <c r="M1151" s="13">
        <v>437</v>
      </c>
      <c r="N1151" s="13">
        <v>2</v>
      </c>
      <c r="O1151" s="15"/>
      <c r="P1151" s="6">
        <v>40658.037118055552</v>
      </c>
      <c r="Q1151" s="16" t="s">
        <v>765</v>
      </c>
      <c r="R1151" s="17" t="s">
        <v>3740</v>
      </c>
      <c r="S1151" s="11" t="s">
        <v>3741</v>
      </c>
      <c r="T1151" s="12"/>
      <c r="U1151" s="10" t="str">
        <f>HYPERLINK("https://pbs.twimg.com/profile_images/1044654541160034308/KVGFdOlz.jpg","View")</f>
        <v>View</v>
      </c>
    </row>
    <row r="1152" spans="1:21" ht="30.6">
      <c r="A1152" s="6">
        <v>43419.853877314818</v>
      </c>
      <c r="B1152" s="7" t="str">
        <f>HYPERLINK("https://twitter.com/profesorjaen","@profesorjaen")</f>
        <v>@profesorjaen</v>
      </c>
      <c r="C1152" s="8" t="s">
        <v>2688</v>
      </c>
      <c r="D1152" s="9" t="s">
        <v>3742</v>
      </c>
      <c r="E1152" s="10" t="str">
        <f>HYPERLINK("https://twitter.com/profesorjaen/status/1063152048286416896","1063152048286416896")</f>
        <v>1063152048286416896</v>
      </c>
      <c r="F1152" s="12"/>
      <c r="G1152" s="11" t="s">
        <v>3743</v>
      </c>
      <c r="H1152" s="12"/>
      <c r="I1152" s="13">
        <v>1</v>
      </c>
      <c r="J1152" s="13">
        <v>1</v>
      </c>
      <c r="K1152" s="14" t="str">
        <f>HYPERLINK("http://twitter.com/download/android","Twitter for Android")</f>
        <v>Twitter for Android</v>
      </c>
      <c r="L1152" s="13">
        <v>6310</v>
      </c>
      <c r="M1152" s="13">
        <v>210</v>
      </c>
      <c r="N1152" s="13">
        <v>118</v>
      </c>
      <c r="O1152" s="15"/>
      <c r="P1152" s="6">
        <v>40844.911736111113</v>
      </c>
      <c r="Q1152" s="16" t="s">
        <v>66</v>
      </c>
      <c r="R1152" s="17" t="s">
        <v>2691</v>
      </c>
      <c r="S1152" s="11" t="s">
        <v>2692</v>
      </c>
      <c r="T1152" s="12"/>
      <c r="U1152" s="10" t="str">
        <f>HYPERLINK("https://pbs.twimg.com/profile_images/914109676748509184/ubpWdGIE.jpg","View")</f>
        <v>View</v>
      </c>
    </row>
    <row r="1153" spans="1:21" ht="51">
      <c r="A1153" s="6">
        <v>43419.850613425922</v>
      </c>
      <c r="B1153" s="7" t="str">
        <f>HYPERLINK("https://twitter.com/AndresSanto_","@AndresSanto_")</f>
        <v>@AndresSanto_</v>
      </c>
      <c r="C1153" s="8" t="s">
        <v>398</v>
      </c>
      <c r="D1153" s="9" t="s">
        <v>3748</v>
      </c>
      <c r="E1153" s="10" t="str">
        <f>HYPERLINK("https://twitter.com/AndresSanto_/status/1063150864112762881","1063150864112762881")</f>
        <v>1063150864112762881</v>
      </c>
      <c r="F1153" s="16" t="s">
        <v>3749</v>
      </c>
      <c r="G1153" s="12"/>
      <c r="H1153" s="12"/>
      <c r="I1153" s="13">
        <v>1</v>
      </c>
      <c r="J1153" s="13">
        <v>0</v>
      </c>
      <c r="K1153" s="14" t="str">
        <f>HYPERLINK("http://twitter.com","Twitter Web Client")</f>
        <v>Twitter Web Client</v>
      </c>
      <c r="L1153" s="13">
        <v>2303</v>
      </c>
      <c r="M1153" s="13">
        <v>1820</v>
      </c>
      <c r="N1153" s="13">
        <v>68</v>
      </c>
      <c r="O1153" s="15"/>
      <c r="P1153" s="6">
        <v>40773.75135416667</v>
      </c>
      <c r="Q1153" s="16" t="s">
        <v>111</v>
      </c>
      <c r="R1153" s="17" t="s">
        <v>401</v>
      </c>
      <c r="S1153" s="12"/>
      <c r="T1153" s="12"/>
      <c r="U1153" s="10" t="str">
        <f>HYPERLINK("https://pbs.twimg.com/profile_images/1062028217861709824/wyaW6mQk.jpg","View")</f>
        <v>View</v>
      </c>
    </row>
    <row r="1154" spans="1:21" ht="30.6">
      <c r="A1154" s="6">
        <v>43419.847511574073</v>
      </c>
      <c r="B1154" s="7" t="str">
        <f>HYPERLINK("https://twitter.com/marte_un","@marte_un")</f>
        <v>@marte_un</v>
      </c>
      <c r="C1154" s="8" t="s">
        <v>4648</v>
      </c>
      <c r="D1154" s="9" t="s">
        <v>4649</v>
      </c>
      <c r="E1154" s="10" t="str">
        <f>HYPERLINK("https://twitter.com/marte_un/status/1063149742631346176","1063149742631346176")</f>
        <v>1063149742631346176</v>
      </c>
      <c r="F1154" s="11" t="s">
        <v>4650</v>
      </c>
      <c r="G1154" s="12"/>
      <c r="H1154" s="12"/>
      <c r="I1154" s="13">
        <v>0</v>
      </c>
      <c r="J1154" s="13">
        <v>0</v>
      </c>
      <c r="K1154" s="14" t="str">
        <f t="shared" ref="K1154:K1156" si="327">HYPERLINK("http://twitter.com/download/android","Twitter for Android")</f>
        <v>Twitter for Android</v>
      </c>
      <c r="L1154" s="13">
        <v>28</v>
      </c>
      <c r="M1154" s="13">
        <v>106</v>
      </c>
      <c r="N1154" s="13">
        <v>0</v>
      </c>
      <c r="O1154" s="15"/>
      <c r="P1154" s="6">
        <v>43281.841562500005</v>
      </c>
      <c r="Q1154" s="12"/>
      <c r="R1154" s="17" t="s">
        <v>4652</v>
      </c>
      <c r="S1154" s="12"/>
      <c r="T1154" s="12"/>
      <c r="U1154" s="10" t="str">
        <f>HYPERLINK("https://pbs.twimg.com/profile_images/1016345022025945089/k0dsizYC.jpg","View")</f>
        <v>View</v>
      </c>
    </row>
    <row r="1155" spans="1:21" ht="30.6">
      <c r="A1155" s="6">
        <v>43419.846099537041</v>
      </c>
      <c r="B1155" s="7" t="str">
        <f>HYPERLINK("https://twitter.com/Vityspain","@Vityspain")</f>
        <v>@Vityspain</v>
      </c>
      <c r="C1155" s="8" t="s">
        <v>3753</v>
      </c>
      <c r="D1155" s="9" t="s">
        <v>3754</v>
      </c>
      <c r="E1155" s="10" t="str">
        <f>HYPERLINK("https://twitter.com/Vityspain/status/1063149229114318854","1063149229114318854")</f>
        <v>1063149229114318854</v>
      </c>
      <c r="F1155" s="11" t="s">
        <v>2433</v>
      </c>
      <c r="G1155" s="12"/>
      <c r="H1155" s="12"/>
      <c r="I1155" s="13">
        <v>0</v>
      </c>
      <c r="J1155" s="13">
        <v>1</v>
      </c>
      <c r="K1155" s="14" t="str">
        <f t="shared" si="327"/>
        <v>Twitter for Android</v>
      </c>
      <c r="L1155" s="13">
        <v>2146</v>
      </c>
      <c r="M1155" s="13">
        <v>2122</v>
      </c>
      <c r="N1155" s="13">
        <v>46</v>
      </c>
      <c r="O1155" s="15"/>
      <c r="P1155" s="6">
        <v>40530.921736111108</v>
      </c>
      <c r="Q1155" s="16" t="s">
        <v>66</v>
      </c>
      <c r="R1155" s="17" t="s">
        <v>3757</v>
      </c>
      <c r="S1155" s="12"/>
      <c r="T1155" s="12"/>
      <c r="U1155" s="10" t="str">
        <f>HYPERLINK("https://pbs.twimg.com/profile_images/1057051159561674753/xmVBpmIL.jpg","View")</f>
        <v>View</v>
      </c>
    </row>
    <row r="1156" spans="1:21" ht="51">
      <c r="A1156" s="6">
        <v>43419.844004629631</v>
      </c>
      <c r="B1156" s="7" t="str">
        <f>HYPERLINK("https://twitter.com/felixgg_9","@felixgg_9")</f>
        <v>@felixgg_9</v>
      </c>
      <c r="C1156" s="8" t="s">
        <v>3758</v>
      </c>
      <c r="D1156" s="9" t="s">
        <v>3759</v>
      </c>
      <c r="E1156" s="10" t="str">
        <f>HYPERLINK("https://twitter.com/felixgg_9/status/1063148471035875329","1063148471035875329")</f>
        <v>1063148471035875329</v>
      </c>
      <c r="F1156" s="12"/>
      <c r="G1156" s="11" t="s">
        <v>3760</v>
      </c>
      <c r="H1156" s="12"/>
      <c r="I1156" s="13">
        <v>0</v>
      </c>
      <c r="J1156" s="13">
        <v>0</v>
      </c>
      <c r="K1156" s="14" t="str">
        <f t="shared" si="327"/>
        <v>Twitter for Android</v>
      </c>
      <c r="L1156" s="13">
        <v>133</v>
      </c>
      <c r="M1156" s="13">
        <v>39</v>
      </c>
      <c r="N1156" s="13">
        <v>0</v>
      </c>
      <c r="O1156" s="15"/>
      <c r="P1156" s="6">
        <v>41374.036435185189</v>
      </c>
      <c r="Q1156" s="16" t="s">
        <v>3761</v>
      </c>
      <c r="R1156" s="17" t="s">
        <v>3762</v>
      </c>
      <c r="S1156" s="12"/>
      <c r="T1156" s="12"/>
      <c r="U1156" s="10" t="str">
        <f>HYPERLINK("https://pbs.twimg.com/profile_images/1064105780788555776/hoTUmT6I.jpg","View")</f>
        <v>View</v>
      </c>
    </row>
    <row r="1157" spans="1:21" ht="102">
      <c r="A1157" s="6">
        <v>43419.84065972222</v>
      </c>
      <c r="B1157" s="7" t="str">
        <f>HYPERLINK("https://twitter.com/MasPortalMarina","@MasPortalMarina")</f>
        <v>@MasPortalMarina</v>
      </c>
      <c r="C1157" s="8" t="s">
        <v>3763</v>
      </c>
      <c r="D1157" s="9" t="s">
        <v>3764</v>
      </c>
      <c r="E1157" s="10" t="str">
        <f>HYPERLINK("https://twitter.com/MasPortalMarina/status/1063147260551290880","1063147260551290880")</f>
        <v>1063147260551290880</v>
      </c>
      <c r="F1157" s="11" t="s">
        <v>3765</v>
      </c>
      <c r="G1157" s="11" t="s">
        <v>3766</v>
      </c>
      <c r="H1157" s="12"/>
      <c r="I1157" s="13">
        <v>9</v>
      </c>
      <c r="J1157" s="13">
        <v>15</v>
      </c>
      <c r="K1157" s="14" t="str">
        <f>HYPERLINK("http://twitter.com/download/iphone","Twitter for iPhone")</f>
        <v>Twitter for iPhone</v>
      </c>
      <c r="L1157" s="13">
        <v>1135</v>
      </c>
      <c r="M1157" s="13">
        <v>1238</v>
      </c>
      <c r="N1157" s="13">
        <v>15</v>
      </c>
      <c r="O1157" s="15"/>
      <c r="P1157" s="6">
        <v>42188.372581018513</v>
      </c>
      <c r="Q1157" s="12"/>
      <c r="R1157" s="17" t="s">
        <v>3767</v>
      </c>
      <c r="S1157" s="11" t="s">
        <v>3768</v>
      </c>
      <c r="T1157" s="12"/>
      <c r="U1157" s="10" t="str">
        <f>HYPERLINK("https://pbs.twimg.com/profile_images/1034434201339260928/afTlzanG.jpg","View")</f>
        <v>View</v>
      </c>
    </row>
    <row r="1158" spans="1:21" ht="51">
      <c r="A1158" s="6">
        <v>43419.838217592594</v>
      </c>
      <c r="B1158" s="7" t="str">
        <f>HYPERLINK("https://twitter.com/pouss97","@pouss97")</f>
        <v>@pouss97</v>
      </c>
      <c r="C1158" s="8" t="s">
        <v>3049</v>
      </c>
      <c r="D1158" s="9" t="s">
        <v>3769</v>
      </c>
      <c r="E1158" s="10" t="str">
        <f>HYPERLINK("https://twitter.com/pouss97/status/1063146372080263168","1063146372080263168")</f>
        <v>1063146372080263168</v>
      </c>
      <c r="F1158" s="11" t="s">
        <v>3770</v>
      </c>
      <c r="G1158" s="11" t="s">
        <v>3771</v>
      </c>
      <c r="H1158" s="12"/>
      <c r="I1158" s="13">
        <v>0</v>
      </c>
      <c r="J1158" s="13">
        <v>0</v>
      </c>
      <c r="K1158" s="14" t="str">
        <f>HYPERLINK("http://twitter.com","Twitter Web Client")</f>
        <v>Twitter Web Client</v>
      </c>
      <c r="L1158" s="13">
        <v>888</v>
      </c>
      <c r="M1158" s="13">
        <v>366</v>
      </c>
      <c r="N1158" s="13">
        <v>6</v>
      </c>
      <c r="O1158" s="15"/>
      <c r="P1158" s="6">
        <v>40707.959456018521</v>
      </c>
      <c r="Q1158" s="16" t="s">
        <v>3053</v>
      </c>
      <c r="R1158" s="17" t="s">
        <v>3054</v>
      </c>
      <c r="S1158" s="11" t="s">
        <v>3055</v>
      </c>
      <c r="T1158" s="12"/>
      <c r="U1158" s="10" t="str">
        <f>HYPERLINK("https://pbs.twimg.com/profile_images/1057124704849420289/1jwnJe-M.jpg","View")</f>
        <v>View</v>
      </c>
    </row>
    <row r="1159" spans="1:21" ht="71.400000000000006">
      <c r="A1159" s="6">
        <v>43419.837581018517</v>
      </c>
      <c r="B1159" s="7" t="str">
        <f>HYPERLINK("https://twitter.com/oscarelia_","@oscarelia_")</f>
        <v>@oscarelia_</v>
      </c>
      <c r="C1159" s="8" t="s">
        <v>3772</v>
      </c>
      <c r="D1159" s="9" t="s">
        <v>3773</v>
      </c>
      <c r="E1159" s="10" t="str">
        <f>HYPERLINK("https://twitter.com/oscarelia_/status/1063146141964009472","1063146141964009472")</f>
        <v>1063146141964009472</v>
      </c>
      <c r="F1159" s="11" t="s">
        <v>3606</v>
      </c>
      <c r="G1159" s="11" t="s">
        <v>3607</v>
      </c>
      <c r="H1159" s="12"/>
      <c r="I1159" s="13">
        <v>0</v>
      </c>
      <c r="J1159" s="13">
        <v>3</v>
      </c>
      <c r="K1159" s="14" t="str">
        <f>HYPERLINK("http://twitter.com/download/android","Twitter for Android")</f>
        <v>Twitter for Android</v>
      </c>
      <c r="L1159" s="13">
        <v>1566</v>
      </c>
      <c r="M1159" s="13">
        <v>1424</v>
      </c>
      <c r="N1159" s="13">
        <v>69</v>
      </c>
      <c r="O1159" s="15"/>
      <c r="P1159" s="6">
        <v>39996.691817129627</v>
      </c>
      <c r="Q1159" s="16" t="s">
        <v>3775</v>
      </c>
      <c r="R1159" s="17" t="s">
        <v>3776</v>
      </c>
      <c r="S1159" s="11" t="s">
        <v>3777</v>
      </c>
      <c r="T1159" s="12"/>
      <c r="U1159" s="10" t="str">
        <f>HYPERLINK("https://pbs.twimg.com/profile_images/1058809903127691265/Oh0qZR9f.jpg","View")</f>
        <v>View</v>
      </c>
    </row>
    <row r="1160" spans="1:21" ht="40.799999999999997">
      <c r="A1160" s="6">
        <v>43419.834722222222</v>
      </c>
      <c r="B1160" s="7" t="str">
        <f>HYPERLINK("https://twitter.com/bitMomentum","@bitMomentum")</f>
        <v>@bitMomentum</v>
      </c>
      <c r="C1160" s="8" t="s">
        <v>368</v>
      </c>
      <c r="D1160" s="9" t="s">
        <v>3778</v>
      </c>
      <c r="E1160" s="10" t="str">
        <f>HYPERLINK("https://twitter.com/bitMomentum/status/1063145105840893953","1063145105840893953")</f>
        <v>1063145105840893953</v>
      </c>
      <c r="F1160" s="12"/>
      <c r="G1160" s="12"/>
      <c r="H1160" s="12"/>
      <c r="I1160" s="13">
        <v>0</v>
      </c>
      <c r="J1160" s="13">
        <v>0</v>
      </c>
      <c r="K1160" s="14" t="str">
        <f>HYPERLINK("http://www.bitmomentum.com","bitMomentum Bot")</f>
        <v>bitMomentum Bot</v>
      </c>
      <c r="L1160" s="13">
        <v>10132</v>
      </c>
      <c r="M1160" s="13">
        <v>1060</v>
      </c>
      <c r="N1160" s="13">
        <v>267</v>
      </c>
      <c r="O1160" s="15"/>
      <c r="P1160" s="6">
        <v>41608.667511574073</v>
      </c>
      <c r="Q1160" s="12"/>
      <c r="R1160" s="17" t="s">
        <v>371</v>
      </c>
      <c r="S1160" s="11" t="s">
        <v>372</v>
      </c>
      <c r="T1160" s="12"/>
      <c r="U1160" s="10" t="str">
        <f>HYPERLINK("https://pbs.twimg.com/profile_images/378800000862185241/20ij2H3u.png","View")</f>
        <v>View</v>
      </c>
    </row>
    <row r="1161" spans="1:21" ht="20.399999999999999">
      <c r="A1161" s="6">
        <v>43419.833738425921</v>
      </c>
      <c r="B1161" s="7" t="str">
        <f>HYPERLINK("https://twitter.com/paracachin","@paracachin")</f>
        <v>@paracachin</v>
      </c>
      <c r="C1161" s="8" t="s">
        <v>4668</v>
      </c>
      <c r="D1161" s="9" t="s">
        <v>2432</v>
      </c>
      <c r="E1161" s="10" t="str">
        <f>HYPERLINK("https://twitter.com/paracachin/status/1063144750872776704","1063144750872776704")</f>
        <v>1063144750872776704</v>
      </c>
      <c r="F1161" s="11" t="s">
        <v>4670</v>
      </c>
      <c r="G1161" s="12"/>
      <c r="H1161" s="12"/>
      <c r="I1161" s="13">
        <v>0</v>
      </c>
      <c r="J1161" s="13">
        <v>0</v>
      </c>
      <c r="K1161" s="14" t="str">
        <f>HYPERLINK("http://twitter.com","Twitter Web Client")</f>
        <v>Twitter Web Client</v>
      </c>
      <c r="L1161" s="13">
        <v>58</v>
      </c>
      <c r="M1161" s="13">
        <v>196</v>
      </c>
      <c r="N1161" s="13">
        <v>0</v>
      </c>
      <c r="O1161" s="15"/>
      <c r="P1161" s="6">
        <v>40793.507534722223</v>
      </c>
      <c r="Q1161" s="16" t="s">
        <v>66</v>
      </c>
      <c r="R1161" s="17" t="s">
        <v>4671</v>
      </c>
      <c r="S1161" s="12"/>
      <c r="T1161" s="12"/>
      <c r="U1161" s="10" t="str">
        <f>HYPERLINK("https://pbs.twimg.com/profile_images/784079983744516096/r1_Nt7a5.jpg","View")</f>
        <v>View</v>
      </c>
    </row>
    <row r="1162" spans="1:21" ht="112.2">
      <c r="A1162" s="6">
        <v>43419.831863425927</v>
      </c>
      <c r="B1162" s="7" t="str">
        <f>HYPERLINK("https://twitter.com/hispanototal","@hispanototal")</f>
        <v>@hispanototal</v>
      </c>
      <c r="C1162" s="8" t="s">
        <v>4672</v>
      </c>
      <c r="D1162" s="9" t="s">
        <v>4673</v>
      </c>
      <c r="E1162" s="10" t="str">
        <f>HYPERLINK("https://twitter.com/hispanototal/status/1063144073090027520","1063144073090027520")</f>
        <v>1063144073090027520</v>
      </c>
      <c r="F1162" s="11" t="s">
        <v>4674</v>
      </c>
      <c r="G1162" s="12"/>
      <c r="H1162" s="12"/>
      <c r="I1162" s="13">
        <v>0</v>
      </c>
      <c r="J1162" s="13">
        <v>0</v>
      </c>
      <c r="K1162" s="14" t="str">
        <f>HYPERLINK("http://twitter.com/download/android","Twitter for Android")</f>
        <v>Twitter for Android</v>
      </c>
      <c r="L1162" s="13">
        <v>1264</v>
      </c>
      <c r="M1162" s="13">
        <v>1895</v>
      </c>
      <c r="N1162" s="13">
        <v>3</v>
      </c>
      <c r="O1162" s="15"/>
      <c r="P1162" s="6">
        <v>43322.466273148151</v>
      </c>
      <c r="Q1162" s="16" t="s">
        <v>4677</v>
      </c>
      <c r="R1162" s="17" t="s">
        <v>4678</v>
      </c>
      <c r="S1162" s="11" t="s">
        <v>4679</v>
      </c>
      <c r="T1162" s="12"/>
      <c r="U1162" s="10" t="str">
        <f>HYPERLINK("https://pbs.twimg.com/profile_images/1064955664240390145/lEg18-XL.jpg","View")</f>
        <v>View</v>
      </c>
    </row>
    <row r="1163" spans="1:21" ht="40.799999999999997">
      <c r="A1163" s="6">
        <v>43419.8284375</v>
      </c>
      <c r="B1163" s="7" t="str">
        <f>HYPERLINK("https://twitter.com/franio_","@franio_")</f>
        <v>@franio_</v>
      </c>
      <c r="C1163" s="8" t="s">
        <v>3779</v>
      </c>
      <c r="D1163" s="9" t="s">
        <v>3780</v>
      </c>
      <c r="E1163" s="10" t="str">
        <f>HYPERLINK("https://twitter.com/franio_/status/1063142831022333953","1063142831022333953")</f>
        <v>1063142831022333953</v>
      </c>
      <c r="F1163" s="12"/>
      <c r="G1163" s="12"/>
      <c r="H1163" s="12"/>
      <c r="I1163" s="13">
        <v>0</v>
      </c>
      <c r="J1163" s="13">
        <v>0</v>
      </c>
      <c r="K1163" s="14" t="str">
        <f>HYPERLINK("http://twitter.com/download/iphone","Twitter for iPhone")</f>
        <v>Twitter for iPhone</v>
      </c>
      <c r="L1163" s="13">
        <v>1808</v>
      </c>
      <c r="M1163" s="13">
        <v>1389</v>
      </c>
      <c r="N1163" s="13">
        <v>30</v>
      </c>
      <c r="O1163" s="15"/>
      <c r="P1163" s="6">
        <v>40623.728368055556</v>
      </c>
      <c r="Q1163" s="16" t="s">
        <v>3781</v>
      </c>
      <c r="R1163" s="17" t="s">
        <v>3782</v>
      </c>
      <c r="S1163" s="11" t="s">
        <v>3783</v>
      </c>
      <c r="T1163" s="12"/>
      <c r="U1163" s="10" t="str">
        <f>HYPERLINK("https://pbs.twimg.com/profile_images/1027664084177760261/qJk8n1lv.jpg","View")</f>
        <v>View</v>
      </c>
    </row>
    <row r="1164" spans="1:21" ht="61.2">
      <c r="A1164" s="6">
        <v>43419.828356481477</v>
      </c>
      <c r="B1164" s="7" t="str">
        <f>HYPERLINK("https://twitter.com/canasporespana","@canasporespana")</f>
        <v>@canasporespana</v>
      </c>
      <c r="C1164" s="8" t="s">
        <v>2720</v>
      </c>
      <c r="D1164" s="9" t="s">
        <v>3784</v>
      </c>
      <c r="E1164" s="10" t="str">
        <f>HYPERLINK("https://twitter.com/canasporespana/status/1063142799799959553","1063142799799959553")</f>
        <v>1063142799799959553</v>
      </c>
      <c r="F1164" s="12"/>
      <c r="G1164" s="11" t="s">
        <v>3785</v>
      </c>
      <c r="H1164" s="12"/>
      <c r="I1164" s="13">
        <v>70</v>
      </c>
      <c r="J1164" s="13">
        <v>119</v>
      </c>
      <c r="K1164" s="14" t="str">
        <f>HYPERLINK("http://twitter.com/download/android","Twitter for Android")</f>
        <v>Twitter for Android</v>
      </c>
      <c r="L1164" s="13">
        <v>6219</v>
      </c>
      <c r="M1164" s="13">
        <v>266</v>
      </c>
      <c r="N1164" s="13">
        <v>40</v>
      </c>
      <c r="O1164" s="15"/>
      <c r="P1164" s="6">
        <v>42712.424108796295</v>
      </c>
      <c r="Q1164" s="16" t="s">
        <v>66</v>
      </c>
      <c r="R1164" s="17" t="s">
        <v>2723</v>
      </c>
      <c r="S1164" s="11" t="s">
        <v>2724</v>
      </c>
      <c r="T1164" s="12"/>
      <c r="U1164" s="10" t="str">
        <f>HYPERLINK("https://pbs.twimg.com/profile_images/1035610115146170368/_VF2Ge_a.jpg","View")</f>
        <v>View</v>
      </c>
    </row>
    <row r="1165" spans="1:21" ht="51">
      <c r="A1165" s="6">
        <v>43419.828275462962</v>
      </c>
      <c r="B1165" s="7" t="str">
        <f>HYPERLINK("https://twitter.com/AntidotoAlCaos","@AntidotoAlCaos")</f>
        <v>@AntidotoAlCaos</v>
      </c>
      <c r="C1165" s="8" t="s">
        <v>3719</v>
      </c>
      <c r="D1165" s="9" t="s">
        <v>3786</v>
      </c>
      <c r="E1165" s="10" t="str">
        <f>HYPERLINK("https://twitter.com/AntidotoAlCaos/status/1063142772528594946","1063142772528594946")</f>
        <v>1063142772528594946</v>
      </c>
      <c r="F1165" s="12"/>
      <c r="G1165" s="12"/>
      <c r="H1165" s="12"/>
      <c r="I1165" s="13">
        <v>0</v>
      </c>
      <c r="J1165" s="13">
        <v>0</v>
      </c>
      <c r="K1165" s="14" t="str">
        <f>HYPERLINK("http://twitter.com/download/iphone","Twitter for iPhone")</f>
        <v>Twitter for iPhone</v>
      </c>
      <c r="L1165" s="13">
        <v>16</v>
      </c>
      <c r="M1165" s="13">
        <v>77</v>
      </c>
      <c r="N1165" s="13">
        <v>0</v>
      </c>
      <c r="O1165" s="15"/>
      <c r="P1165" s="6">
        <v>43417.947893518518</v>
      </c>
      <c r="Q1165" s="12"/>
      <c r="R1165" s="17" t="s">
        <v>3722</v>
      </c>
      <c r="S1165" s="12"/>
      <c r="T1165" s="12"/>
      <c r="U1165" s="10" t="str">
        <f>HYPERLINK("https://pbs.twimg.com/profile_images/1062464543559954432/wkEH44Jy.jpg","View")</f>
        <v>View</v>
      </c>
    </row>
    <row r="1166" spans="1:21" ht="51">
      <c r="A1166" s="6">
        <v>43419.820717592593</v>
      </c>
      <c r="B1166" s="7" t="str">
        <f>HYPERLINK("https://twitter.com/JuvenPodemosCAM","@JuvenPodemosCAM")</f>
        <v>@JuvenPodemosCAM</v>
      </c>
      <c r="C1166" s="8" t="s">
        <v>3787</v>
      </c>
      <c r="D1166" s="9" t="s">
        <v>3788</v>
      </c>
      <c r="E1166" s="10" t="str">
        <f>HYPERLINK("https://twitter.com/JuvenPodemosCAM/status/1063140031777398786","1063140031777398786")</f>
        <v>1063140031777398786</v>
      </c>
      <c r="F1166" s="12"/>
      <c r="G1166" s="11" t="s">
        <v>3789</v>
      </c>
      <c r="H1166" s="12"/>
      <c r="I1166" s="13">
        <v>1</v>
      </c>
      <c r="J1166" s="13">
        <v>0</v>
      </c>
      <c r="K1166" s="14" t="str">
        <f t="shared" ref="K1166:K1170" si="328">HYPERLINK("http://twitter.com/download/android","Twitter for Android")</f>
        <v>Twitter for Android</v>
      </c>
      <c r="L1166" s="13">
        <v>1736</v>
      </c>
      <c r="M1166" s="13">
        <v>542</v>
      </c>
      <c r="N1166" s="13">
        <v>24</v>
      </c>
      <c r="O1166" s="15"/>
      <c r="P1166" s="6">
        <v>42502.770196759258</v>
      </c>
      <c r="Q1166" s="16" t="s">
        <v>66</v>
      </c>
      <c r="R1166" s="17" t="s">
        <v>3792</v>
      </c>
      <c r="S1166" s="12"/>
      <c r="T1166" s="12"/>
      <c r="U1166" s="10" t="str">
        <f>HYPERLINK("https://pbs.twimg.com/profile_images/973657981756887040/YhJx45Yf.jpg","View")</f>
        <v>View</v>
      </c>
    </row>
    <row r="1167" spans="1:21" ht="40.799999999999997">
      <c r="A1167" s="6">
        <v>43419.816759259258</v>
      </c>
      <c r="B1167" s="7" t="str">
        <f>HYPERLINK("https://twitter.com/Taboodelaney","@Taboodelaney")</f>
        <v>@Taboodelaney</v>
      </c>
      <c r="C1167" s="8" t="s">
        <v>214</v>
      </c>
      <c r="D1167" s="9" t="s">
        <v>3908</v>
      </c>
      <c r="E1167" s="10" t="str">
        <f>HYPERLINK("https://twitter.com/Taboodelaney/status/1063138598587904001","1063138598587904001")</f>
        <v>1063138598587904001</v>
      </c>
      <c r="F1167" s="11" t="s">
        <v>2433</v>
      </c>
      <c r="G1167" s="12"/>
      <c r="H1167" s="12"/>
      <c r="I1167" s="13">
        <v>5</v>
      </c>
      <c r="J1167" s="13">
        <v>10</v>
      </c>
      <c r="K1167" s="14" t="str">
        <f t="shared" si="328"/>
        <v>Twitter for Android</v>
      </c>
      <c r="L1167" s="13">
        <v>1088</v>
      </c>
      <c r="M1167" s="13">
        <v>969</v>
      </c>
      <c r="N1167" s="13">
        <v>2</v>
      </c>
      <c r="O1167" s="15"/>
      <c r="P1167" s="6">
        <v>43252.734421296293</v>
      </c>
      <c r="Q1167" s="12"/>
      <c r="R1167" s="17" t="s">
        <v>218</v>
      </c>
      <c r="S1167" s="12"/>
      <c r="T1167" s="12"/>
      <c r="U1167" s="10" t="str">
        <f>HYPERLINK("https://pbs.twimg.com/profile_images/1054075081960382466/6n7kVrx9.jpg","View")</f>
        <v>View</v>
      </c>
    </row>
    <row r="1168" spans="1:21" ht="51">
      <c r="A1168" s="6">
        <v>43419.816377314812</v>
      </c>
      <c r="B1168" s="7" t="str">
        <f>HYPERLINK("https://twitter.com/PedroInsua1","@PedroInsua1")</f>
        <v>@PedroInsua1</v>
      </c>
      <c r="C1168" s="8" t="s">
        <v>3796</v>
      </c>
      <c r="D1168" s="9" t="s">
        <v>3797</v>
      </c>
      <c r="E1168" s="10" t="str">
        <f>HYPERLINK("https://twitter.com/PedroInsua1/status/1063138460213633024","1063138460213633024")</f>
        <v>1063138460213633024</v>
      </c>
      <c r="F1168" s="11" t="s">
        <v>3798</v>
      </c>
      <c r="G1168" s="12"/>
      <c r="H1168" s="12"/>
      <c r="I1168" s="13">
        <v>15</v>
      </c>
      <c r="J1168" s="13">
        <v>23</v>
      </c>
      <c r="K1168" s="14" t="str">
        <f t="shared" si="328"/>
        <v>Twitter for Android</v>
      </c>
      <c r="L1168" s="13">
        <v>6410</v>
      </c>
      <c r="M1168" s="13">
        <v>1060</v>
      </c>
      <c r="N1168" s="13">
        <v>80</v>
      </c>
      <c r="O1168" s="15"/>
      <c r="P1168" s="6">
        <v>41055.08085648148</v>
      </c>
      <c r="Q1168" s="16" t="s">
        <v>66</v>
      </c>
      <c r="R1168" s="17" t="s">
        <v>3799</v>
      </c>
      <c r="S1168" s="12"/>
      <c r="T1168" s="12"/>
      <c r="U1168" s="10" t="str">
        <f>HYPERLINK("https://pbs.twimg.com/profile_images/1063873436123041793/xb5L0Ypa.jpg","View")</f>
        <v>View</v>
      </c>
    </row>
    <row r="1169" spans="1:21" ht="51">
      <c r="A1169" s="6">
        <v>43419.814317129625</v>
      </c>
      <c r="B1169" s="7" t="str">
        <f>HYPERLINK("https://twitter.com/MemeMonsalve","@MemeMonsalve")</f>
        <v>@MemeMonsalve</v>
      </c>
      <c r="C1169" s="8" t="s">
        <v>3800</v>
      </c>
      <c r="D1169" s="9" t="s">
        <v>3801</v>
      </c>
      <c r="E1169" s="10" t="str">
        <f>HYPERLINK("https://twitter.com/MemeMonsalve/status/1063137714114039810","1063137714114039810")</f>
        <v>1063137714114039810</v>
      </c>
      <c r="F1169" s="11" t="s">
        <v>3574</v>
      </c>
      <c r="G1169" s="11" t="s">
        <v>3575</v>
      </c>
      <c r="H1169" s="12"/>
      <c r="I1169" s="13">
        <v>0</v>
      </c>
      <c r="J1169" s="13">
        <v>1</v>
      </c>
      <c r="K1169" s="14" t="str">
        <f t="shared" si="328"/>
        <v>Twitter for Android</v>
      </c>
      <c r="L1169" s="13">
        <v>93</v>
      </c>
      <c r="M1169" s="13">
        <v>215</v>
      </c>
      <c r="N1169" s="13">
        <v>2</v>
      </c>
      <c r="O1169" s="15"/>
      <c r="P1169" s="6">
        <v>41707.965127314819</v>
      </c>
      <c r="Q1169" s="12"/>
      <c r="R1169" s="21"/>
      <c r="S1169" s="12"/>
      <c r="T1169" s="12"/>
      <c r="U1169" s="10" t="str">
        <f>HYPERLINK("https://pbs.twimg.com/profile_images/812599879340015617/R_zmlXvF.jpg","View")</f>
        <v>View</v>
      </c>
    </row>
    <row r="1170" spans="1:21" ht="40.799999999999997">
      <c r="A1170" s="6">
        <v>43419.814097222217</v>
      </c>
      <c r="B1170" s="7" t="str">
        <f>HYPERLINK("https://twitter.com/fan_fanon","@fan_fanon")</f>
        <v>@fan_fanon</v>
      </c>
      <c r="C1170" s="8" t="s">
        <v>3802</v>
      </c>
      <c r="D1170" s="9" t="s">
        <v>3803</v>
      </c>
      <c r="E1170" s="10" t="str">
        <f>HYPERLINK("https://twitter.com/fan_fanon/status/1063137633361149952","1063137633361149952")</f>
        <v>1063137633361149952</v>
      </c>
      <c r="F1170" s="12"/>
      <c r="G1170" s="11" t="s">
        <v>3804</v>
      </c>
      <c r="H1170" s="12"/>
      <c r="I1170" s="13">
        <v>2</v>
      </c>
      <c r="J1170" s="13">
        <v>1</v>
      </c>
      <c r="K1170" s="14" t="str">
        <f t="shared" si="328"/>
        <v>Twitter for Android</v>
      </c>
      <c r="L1170" s="13">
        <v>2658</v>
      </c>
      <c r="M1170" s="13">
        <v>1755</v>
      </c>
      <c r="N1170" s="13">
        <v>4</v>
      </c>
      <c r="O1170" s="15"/>
      <c r="P1170" s="6">
        <v>43187.775347222225</v>
      </c>
      <c r="Q1170" s="16" t="s">
        <v>543</v>
      </c>
      <c r="R1170" s="17" t="s">
        <v>3805</v>
      </c>
      <c r="S1170" s="12"/>
      <c r="T1170" s="12"/>
      <c r="U1170" s="10" t="str">
        <f>HYPERLINK("https://pbs.twimg.com/profile_images/979038329445519360/52D7LOpS.jpg","View")</f>
        <v>View</v>
      </c>
    </row>
    <row r="1171" spans="1:21" ht="20.399999999999999">
      <c r="A1171" s="6">
        <v>43419.81318287037</v>
      </c>
      <c r="B1171" s="7" t="str">
        <f>HYPERLINK("https://twitter.com/asgtrujillo","@asgtrujillo")</f>
        <v>@asgtrujillo</v>
      </c>
      <c r="C1171" s="8" t="s">
        <v>3807</v>
      </c>
      <c r="D1171" s="9" t="s">
        <v>3808</v>
      </c>
      <c r="E1171" s="10" t="str">
        <f>HYPERLINK("https://twitter.com/asgtrujillo/status/1063137302690648065","1063137302690648065")</f>
        <v>1063137302690648065</v>
      </c>
      <c r="F1171" s="12"/>
      <c r="G1171" s="11" t="s">
        <v>3809</v>
      </c>
      <c r="H1171" s="12"/>
      <c r="I1171" s="13">
        <v>0</v>
      </c>
      <c r="J1171" s="13">
        <v>1</v>
      </c>
      <c r="K1171" s="14" t="str">
        <f>HYPERLINK("http://twitter.com/download/iphone","Twitter for iPhone")</f>
        <v>Twitter for iPhone</v>
      </c>
      <c r="L1171" s="13">
        <v>588</v>
      </c>
      <c r="M1171" s="13">
        <v>681</v>
      </c>
      <c r="N1171" s="13">
        <v>0</v>
      </c>
      <c r="O1171" s="15"/>
      <c r="P1171" s="6">
        <v>40551.88140046296</v>
      </c>
      <c r="Q1171" s="16" t="s">
        <v>3810</v>
      </c>
      <c r="R1171" s="17" t="s">
        <v>3811</v>
      </c>
      <c r="S1171" s="12"/>
      <c r="T1171" s="12"/>
      <c r="U1171" s="10" t="str">
        <f>HYPERLINK("https://pbs.twimg.com/profile_images/752851659240435712/5uZ37pXB.jpg","View")</f>
        <v>View</v>
      </c>
    </row>
    <row r="1172" spans="1:21" ht="30.6">
      <c r="A1172" s="6">
        <v>43419.812245370369</v>
      </c>
      <c r="B1172" s="7" t="str">
        <f>HYPERLINK("https://twitter.com/elbuscador1963","@elbuscador1963")</f>
        <v>@elbuscador1963</v>
      </c>
      <c r="C1172" s="8" t="s">
        <v>4701</v>
      </c>
      <c r="D1172" s="9" t="s">
        <v>3908</v>
      </c>
      <c r="E1172" s="10" t="str">
        <f>HYPERLINK("https://twitter.com/elbuscador1963/status/1063136962440323072","1063136962440323072")</f>
        <v>1063136962440323072</v>
      </c>
      <c r="F1172" s="11" t="s">
        <v>2433</v>
      </c>
      <c r="G1172" s="12"/>
      <c r="H1172" s="12"/>
      <c r="I1172" s="13">
        <v>0</v>
      </c>
      <c r="J1172" s="13">
        <v>0</v>
      </c>
      <c r="K1172" s="14" t="str">
        <f t="shared" ref="K1172:K1174" si="329">HYPERLINK("http://twitter.com","Twitter Web Client")</f>
        <v>Twitter Web Client</v>
      </c>
      <c r="L1172" s="13">
        <v>241</v>
      </c>
      <c r="M1172" s="13">
        <v>366</v>
      </c>
      <c r="N1172" s="13">
        <v>3</v>
      </c>
      <c r="O1172" s="15"/>
      <c r="P1172" s="6">
        <v>40959.777453703704</v>
      </c>
      <c r="Q1172" s="16" t="s">
        <v>4703</v>
      </c>
      <c r="R1172" s="17" t="s">
        <v>4704</v>
      </c>
      <c r="S1172" s="12"/>
      <c r="T1172" s="12"/>
      <c r="U1172" s="10" t="str">
        <f>HYPERLINK("https://pbs.twimg.com/profile_images/590556037612175360/SM5kI0el.jpg","View")</f>
        <v>View</v>
      </c>
    </row>
    <row r="1173" spans="1:21" ht="20.399999999999999">
      <c r="A1173" s="6">
        <v>43419.811354166668</v>
      </c>
      <c r="B1173" s="7" t="str">
        <f>HYPERLINK("https://twitter.com/Jacobo7elbobo","@Jacobo7elbobo")</f>
        <v>@Jacobo7elbobo</v>
      </c>
      <c r="C1173" s="8" t="s">
        <v>514</v>
      </c>
      <c r="D1173" s="9" t="s">
        <v>3908</v>
      </c>
      <c r="E1173" s="10" t="str">
        <f>HYPERLINK("https://twitter.com/Jacobo7elbobo/status/1063136636962304001","1063136636962304001")</f>
        <v>1063136636962304001</v>
      </c>
      <c r="F1173" s="11" t="s">
        <v>2433</v>
      </c>
      <c r="G1173" s="12"/>
      <c r="H1173" s="12"/>
      <c r="I1173" s="13">
        <v>2</v>
      </c>
      <c r="J1173" s="13">
        <v>5</v>
      </c>
      <c r="K1173" s="14" t="str">
        <f t="shared" si="329"/>
        <v>Twitter Web Client</v>
      </c>
      <c r="L1173" s="13">
        <v>5397</v>
      </c>
      <c r="M1173" s="13">
        <v>5149</v>
      </c>
      <c r="N1173" s="13">
        <v>6</v>
      </c>
      <c r="O1173" s="15"/>
      <c r="P1173" s="6">
        <v>42315.993460648147</v>
      </c>
      <c r="Q1173" s="16" t="s">
        <v>516</v>
      </c>
      <c r="R1173" s="17" t="s">
        <v>517</v>
      </c>
      <c r="S1173" s="12"/>
      <c r="T1173" s="12"/>
      <c r="U1173" s="10" t="str">
        <f>HYPERLINK("https://pbs.twimg.com/profile_images/972809079289675776/alLBdem6.jpg","View")</f>
        <v>View</v>
      </c>
    </row>
    <row r="1174" spans="1:21" ht="20.399999999999999">
      <c r="A1174" s="6">
        <v>43419.809814814813</v>
      </c>
      <c r="B1174" s="7" t="str">
        <f>HYPERLINK("https://twitter.com/calcazar30","@calcazar30")</f>
        <v>@calcazar30</v>
      </c>
      <c r="C1174" s="8" t="s">
        <v>4707</v>
      </c>
      <c r="D1174" s="9" t="s">
        <v>3908</v>
      </c>
      <c r="E1174" s="10" t="str">
        <f>HYPERLINK("https://twitter.com/calcazar30/status/1063136080294223872","1063136080294223872")</f>
        <v>1063136080294223872</v>
      </c>
      <c r="F1174" s="11" t="s">
        <v>2433</v>
      </c>
      <c r="G1174" s="12"/>
      <c r="H1174" s="12"/>
      <c r="I1174" s="13">
        <v>0</v>
      </c>
      <c r="J1174" s="13">
        <v>0</v>
      </c>
      <c r="K1174" s="14" t="str">
        <f t="shared" si="329"/>
        <v>Twitter Web Client</v>
      </c>
      <c r="L1174" s="13">
        <v>917</v>
      </c>
      <c r="M1174" s="13">
        <v>1067</v>
      </c>
      <c r="N1174" s="13">
        <v>39</v>
      </c>
      <c r="O1174" s="15"/>
      <c r="P1174" s="6">
        <v>41256.810150462959</v>
      </c>
      <c r="Q1174" s="16" t="s">
        <v>698</v>
      </c>
      <c r="R1174" s="17" t="s">
        <v>4708</v>
      </c>
      <c r="S1174" s="12"/>
      <c r="T1174" s="12"/>
      <c r="U1174" s="10" t="str">
        <f>HYPERLINK("https://pbs.twimg.com/profile_images/676799973573451776/oV4BNrT_.png","View")</f>
        <v>View</v>
      </c>
    </row>
    <row r="1175" spans="1:21" ht="40.799999999999997">
      <c r="A1175" s="6">
        <v>43419.808865740742</v>
      </c>
      <c r="B1175" s="7" t="str">
        <f>HYPERLINK("https://twitter.com/arb149","@arb149")</f>
        <v>@arb149</v>
      </c>
      <c r="C1175" s="8" t="s">
        <v>3812</v>
      </c>
      <c r="D1175" s="9" t="s">
        <v>3813</v>
      </c>
      <c r="E1175" s="10" t="str">
        <f>HYPERLINK("https://twitter.com/arb149/status/1063135737837686786","1063135737837686786")</f>
        <v>1063135737837686786</v>
      </c>
      <c r="F1175" s="11" t="s">
        <v>3814</v>
      </c>
      <c r="G1175" s="12"/>
      <c r="H1175" s="12"/>
      <c r="I1175" s="13">
        <v>0</v>
      </c>
      <c r="J1175" s="13">
        <v>2</v>
      </c>
      <c r="K1175" s="14" t="str">
        <f t="shared" ref="K1175:K1177" si="330">HYPERLINK("http://twitter.com/download/android","Twitter for Android")</f>
        <v>Twitter for Android</v>
      </c>
      <c r="L1175" s="13">
        <v>1484</v>
      </c>
      <c r="M1175" s="13">
        <v>1449</v>
      </c>
      <c r="N1175" s="13">
        <v>8</v>
      </c>
      <c r="O1175" s="15"/>
      <c r="P1175" s="6">
        <v>42496.511030092588</v>
      </c>
      <c r="Q1175" s="16" t="s">
        <v>3220</v>
      </c>
      <c r="R1175" s="17" t="s">
        <v>3815</v>
      </c>
      <c r="S1175" s="11" t="s">
        <v>3816</v>
      </c>
      <c r="T1175" s="12"/>
      <c r="U1175" s="10" t="str">
        <f>HYPERLINK("https://pbs.twimg.com/profile_images/973301746612228096/Y6FEtro1.jpg","View")</f>
        <v>View</v>
      </c>
    </row>
    <row r="1176" spans="1:21" ht="20.399999999999999">
      <c r="A1176" s="6">
        <v>43419.806377314817</v>
      </c>
      <c r="B1176" s="7" t="str">
        <f>HYPERLINK("https://twitter.com/lunadebenidorm","@lunadebenidorm")</f>
        <v>@lunadebenidorm</v>
      </c>
      <c r="C1176" s="8" t="s">
        <v>106</v>
      </c>
      <c r="D1176" s="9" t="s">
        <v>3817</v>
      </c>
      <c r="E1176" s="10" t="str">
        <f>HYPERLINK("https://twitter.com/lunadebenidorm/status/1063134833826783232","1063134833826783232")</f>
        <v>1063134833826783232</v>
      </c>
      <c r="F1176" s="11" t="s">
        <v>3818</v>
      </c>
      <c r="G1176" s="12"/>
      <c r="H1176" s="12"/>
      <c r="I1176" s="13">
        <v>0</v>
      </c>
      <c r="J1176" s="13">
        <v>0</v>
      </c>
      <c r="K1176" s="14" t="str">
        <f t="shared" si="330"/>
        <v>Twitter for Android</v>
      </c>
      <c r="L1176" s="13">
        <v>3991</v>
      </c>
      <c r="M1176" s="13">
        <v>3978</v>
      </c>
      <c r="N1176" s="13">
        <v>79</v>
      </c>
      <c r="O1176" s="15"/>
      <c r="P1176" s="6">
        <v>41461.81186342593</v>
      </c>
      <c r="Q1176" s="12"/>
      <c r="R1176" s="17" t="s">
        <v>108</v>
      </c>
      <c r="S1176" s="12"/>
      <c r="T1176" s="12"/>
      <c r="U1176" s="10" t="str">
        <f>HYPERLINK("https://pbs.twimg.com/profile_images/1061229593758257153/rePCQt08.jpg","View")</f>
        <v>View</v>
      </c>
    </row>
    <row r="1177" spans="1:21" ht="30.6">
      <c r="A1177" s="6">
        <v>43419.799675925926</v>
      </c>
      <c r="B1177" s="7" t="str">
        <f>HYPERLINK("https://twitter.com/CaceresJedi","@CaceresJedi")</f>
        <v>@CaceresJedi</v>
      </c>
      <c r="C1177" s="8" t="s">
        <v>4714</v>
      </c>
      <c r="D1177" s="9" t="s">
        <v>4715</v>
      </c>
      <c r="E1177" s="10" t="str">
        <f>HYPERLINK("https://twitter.com/CaceresJedi/status/1063132407988137984","1063132407988137984")</f>
        <v>1063132407988137984</v>
      </c>
      <c r="F1177" s="11" t="s">
        <v>2433</v>
      </c>
      <c r="G1177" s="12"/>
      <c r="H1177" s="12"/>
      <c r="I1177" s="13">
        <v>0</v>
      </c>
      <c r="J1177" s="13">
        <v>0</v>
      </c>
      <c r="K1177" s="14" t="str">
        <f t="shared" si="330"/>
        <v>Twitter for Android</v>
      </c>
      <c r="L1177" s="13">
        <v>138</v>
      </c>
      <c r="M1177" s="13">
        <v>561</v>
      </c>
      <c r="N1177" s="13">
        <v>0</v>
      </c>
      <c r="O1177" s="15"/>
      <c r="P1177" s="6">
        <v>40477.004062499997</v>
      </c>
      <c r="Q1177" s="12"/>
      <c r="R1177" s="17" t="s">
        <v>4716</v>
      </c>
      <c r="S1177" s="12"/>
      <c r="T1177" s="12"/>
      <c r="U1177" s="10" t="str">
        <f>HYPERLINK("https://pbs.twimg.com/profile_images/453554205865680896/AI-Pvva6.png","View")</f>
        <v>View</v>
      </c>
    </row>
    <row r="1178" spans="1:21" ht="81.599999999999994">
      <c r="A1178" s="6">
        <v>43419.798055555555</v>
      </c>
      <c r="B1178" s="7" t="str">
        <f>HYPERLINK("https://twitter.com/sanchezfornet","@sanchezfornet")</f>
        <v>@sanchezfornet</v>
      </c>
      <c r="C1178" s="8" t="s">
        <v>3821</v>
      </c>
      <c r="D1178" s="9" t="s">
        <v>3823</v>
      </c>
      <c r="E1178" s="10" t="str">
        <f>HYPERLINK("https://twitter.com/sanchezfornet/status/1063131817618874368","1063131817618874368")</f>
        <v>1063131817618874368</v>
      </c>
      <c r="F1178" s="11" t="s">
        <v>3141</v>
      </c>
      <c r="G1178" s="11" t="s">
        <v>3142</v>
      </c>
      <c r="H1178" s="12"/>
      <c r="I1178" s="13">
        <v>23</v>
      </c>
      <c r="J1178" s="13">
        <v>31</v>
      </c>
      <c r="K1178" s="14" t="str">
        <f>HYPERLINK("http://twitter.com/download/iphone","Twitter for iPhone")</f>
        <v>Twitter for iPhone</v>
      </c>
      <c r="L1178" s="13">
        <v>11161</v>
      </c>
      <c r="M1178" s="13">
        <v>961</v>
      </c>
      <c r="N1178" s="13">
        <v>195</v>
      </c>
      <c r="O1178" s="15"/>
      <c r="P1178" s="6">
        <v>40855.37840277778</v>
      </c>
      <c r="Q1178" s="12"/>
      <c r="R1178" s="17" t="s">
        <v>3824</v>
      </c>
      <c r="S1178" s="11" t="s">
        <v>3825</v>
      </c>
      <c r="T1178" s="12"/>
      <c r="U1178" s="10" t="str">
        <f>HYPERLINK("https://pbs.twimg.com/profile_images/1061332279744782342/-VR3t5Qx.jpg","View")</f>
        <v>View</v>
      </c>
    </row>
    <row r="1179" spans="1:21" ht="20.399999999999999">
      <c r="A1179" s="6">
        <v>43419.793483796297</v>
      </c>
      <c r="B1179" s="7" t="str">
        <f>HYPERLINK("https://twitter.com/periodistadigit","@periodistadigit")</f>
        <v>@periodistadigit</v>
      </c>
      <c r="C1179" s="8" t="s">
        <v>4147</v>
      </c>
      <c r="D1179" s="9" t="s">
        <v>2432</v>
      </c>
      <c r="E1179" s="10" t="str">
        <f>HYPERLINK("https://twitter.com/periodistadigit/status/1063130163637116929","1063130163637116929")</f>
        <v>1063130163637116929</v>
      </c>
      <c r="F1179" s="11" t="s">
        <v>4721</v>
      </c>
      <c r="G1179" s="12"/>
      <c r="H1179" s="12"/>
      <c r="I1179" s="13">
        <v>12</v>
      </c>
      <c r="J1179" s="13">
        <v>16</v>
      </c>
      <c r="K1179" s="14" t="str">
        <f>HYPERLINK("http://twitter.com","Twitter Web Client")</f>
        <v>Twitter Web Client</v>
      </c>
      <c r="L1179" s="13">
        <v>56097</v>
      </c>
      <c r="M1179" s="13">
        <v>3791</v>
      </c>
      <c r="N1179" s="13">
        <v>1469</v>
      </c>
      <c r="O1179" s="23" t="s">
        <v>186</v>
      </c>
      <c r="P1179" s="6">
        <v>40084.916296296295</v>
      </c>
      <c r="Q1179" s="16" t="s">
        <v>104</v>
      </c>
      <c r="R1179" s="17" t="s">
        <v>4152</v>
      </c>
      <c r="S1179" s="11" t="s">
        <v>4138</v>
      </c>
      <c r="T1179" s="12"/>
      <c r="U1179" s="10" t="str">
        <f>HYPERLINK("https://pbs.twimg.com/profile_images/1913331873/periodista-digital.jpg","View")</f>
        <v>View</v>
      </c>
    </row>
    <row r="1180" spans="1:21" ht="40.799999999999997">
      <c r="A1180" s="6">
        <v>43419.79305555555</v>
      </c>
      <c r="B1180" s="7" t="str">
        <f>HYPERLINK("https://twitter.com/bitMomentum","@bitMomentum")</f>
        <v>@bitMomentum</v>
      </c>
      <c r="C1180" s="8" t="s">
        <v>368</v>
      </c>
      <c r="D1180" s="9" t="s">
        <v>3826</v>
      </c>
      <c r="E1180" s="10" t="str">
        <f>HYPERLINK("https://twitter.com/bitMomentum/status/1063130006249971714","1063130006249971714")</f>
        <v>1063130006249971714</v>
      </c>
      <c r="F1180" s="12"/>
      <c r="G1180" s="12"/>
      <c r="H1180" s="12"/>
      <c r="I1180" s="13">
        <v>0</v>
      </c>
      <c r="J1180" s="13">
        <v>0</v>
      </c>
      <c r="K1180" s="14" t="str">
        <f>HYPERLINK("http://www.bitmomentum.com","bitMomentum Bot")</f>
        <v>bitMomentum Bot</v>
      </c>
      <c r="L1180" s="13">
        <v>10132</v>
      </c>
      <c r="M1180" s="13">
        <v>1060</v>
      </c>
      <c r="N1180" s="13">
        <v>267</v>
      </c>
      <c r="O1180" s="15"/>
      <c r="P1180" s="6">
        <v>41608.667511574073</v>
      </c>
      <c r="Q1180" s="12"/>
      <c r="R1180" s="17" t="s">
        <v>371</v>
      </c>
      <c r="S1180" s="11" t="s">
        <v>372</v>
      </c>
      <c r="T1180" s="12"/>
      <c r="U1180" s="10" t="str">
        <f>HYPERLINK("https://pbs.twimg.com/profile_images/378800000862185241/20ij2H3u.png","View")</f>
        <v>View</v>
      </c>
    </row>
    <row r="1181" spans="1:21" ht="30.6">
      <c r="A1181" s="6">
        <v>43419.792291666672</v>
      </c>
      <c r="B1181" s="7" t="str">
        <f>HYPERLINK("https://twitter.com/raventos","@raventos")</f>
        <v>@raventos</v>
      </c>
      <c r="C1181" s="8" t="s">
        <v>3827</v>
      </c>
      <c r="D1181" s="9" t="s">
        <v>3828</v>
      </c>
      <c r="E1181" s="10" t="str">
        <f>HYPERLINK("https://twitter.com/raventos/status/1063129732286431232","1063129732286431232")</f>
        <v>1063129732286431232</v>
      </c>
      <c r="F1181" s="12"/>
      <c r="G1181" s="11" t="s">
        <v>3829</v>
      </c>
      <c r="H1181" s="12"/>
      <c r="I1181" s="13">
        <v>0</v>
      </c>
      <c r="J1181" s="13">
        <v>0</v>
      </c>
      <c r="K1181" s="14" t="str">
        <f>HYPERLINK("http://twitter.com/download/android","Twitter for Android")</f>
        <v>Twitter for Android</v>
      </c>
      <c r="L1181" s="13">
        <v>2177</v>
      </c>
      <c r="M1181" s="13">
        <v>2909</v>
      </c>
      <c r="N1181" s="13">
        <v>114</v>
      </c>
      <c r="O1181" s="15"/>
      <c r="P1181" s="6">
        <v>39354.06086805556</v>
      </c>
      <c r="Q1181" s="16" t="s">
        <v>571</v>
      </c>
      <c r="R1181" s="17" t="s">
        <v>3830</v>
      </c>
      <c r="S1181" s="12"/>
      <c r="T1181" s="12"/>
      <c r="U1181" s="10" t="str">
        <f>HYPERLINK("https://pbs.twimg.com/profile_images/687035011065888768/7I1JpY4I.jpg","View")</f>
        <v>View</v>
      </c>
    </row>
    <row r="1182" spans="1:21" ht="81.599999999999994">
      <c r="A1182" s="6">
        <v>43419.788773148146</v>
      </c>
      <c r="B1182" s="7" t="str">
        <f>HYPERLINK("https://twitter.com/FrayJosepho","@FrayJosepho")</f>
        <v>@FrayJosepho</v>
      </c>
      <c r="C1182" s="8" t="s">
        <v>3831</v>
      </c>
      <c r="D1182" s="9" t="s">
        <v>3833</v>
      </c>
      <c r="E1182" s="10" t="str">
        <f>HYPERLINK("https://twitter.com/FrayJosepho/status/1063128455192211456","1063128455192211456")</f>
        <v>1063128455192211456</v>
      </c>
      <c r="F1182" s="11" t="s">
        <v>3509</v>
      </c>
      <c r="G1182" s="11" t="s">
        <v>2397</v>
      </c>
      <c r="H1182" s="12"/>
      <c r="I1182" s="13">
        <v>1786</v>
      </c>
      <c r="J1182" s="13">
        <v>2405</v>
      </c>
      <c r="K1182" s="14" t="str">
        <f>HYPERLINK("https://about.twitter.com/products/tweetdeck","TweetDeck")</f>
        <v>TweetDeck</v>
      </c>
      <c r="L1182" s="13">
        <v>61397</v>
      </c>
      <c r="M1182" s="13">
        <v>514</v>
      </c>
      <c r="N1182" s="13">
        <v>651</v>
      </c>
      <c r="O1182" s="23" t="s">
        <v>186</v>
      </c>
      <c r="P1182" s="6">
        <v>40263.030856481484</v>
      </c>
      <c r="Q1182" s="16" t="s">
        <v>66</v>
      </c>
      <c r="R1182" s="17" t="s">
        <v>3835</v>
      </c>
      <c r="S1182" s="11" t="s">
        <v>3836</v>
      </c>
      <c r="T1182" s="12"/>
      <c r="U1182" s="10" t="str">
        <f>HYPERLINK("https://pbs.twimg.com/profile_images/849684697261236224/hBxcfTCk.jpg","View")</f>
        <v>View</v>
      </c>
    </row>
    <row r="1183" spans="1:21" ht="30.6">
      <c r="A1183" s="6">
        <v>43419.78842592593</v>
      </c>
      <c r="B1183" s="7" t="str">
        <f>HYPERLINK("https://twitter.com/entretiniebla","@entretiniebla")</f>
        <v>@entretiniebla</v>
      </c>
      <c r="C1183" s="8" t="s">
        <v>3840</v>
      </c>
      <c r="D1183" s="9" t="s">
        <v>3841</v>
      </c>
      <c r="E1183" s="10" t="str">
        <f>HYPERLINK("https://twitter.com/entretiniebla/status/1063128329593765888","1063128329593765888")</f>
        <v>1063128329593765888</v>
      </c>
      <c r="F1183" s="12"/>
      <c r="G1183" s="12"/>
      <c r="H1183" s="12"/>
      <c r="I1183" s="13">
        <v>15</v>
      </c>
      <c r="J1183" s="13">
        <v>11</v>
      </c>
      <c r="K1183" s="14" t="str">
        <f>HYPERLINK("http://twitter.com/download/android","Twitter for Android")</f>
        <v>Twitter for Android</v>
      </c>
      <c r="L1183" s="13">
        <v>2276</v>
      </c>
      <c r="M1183" s="13">
        <v>1915</v>
      </c>
      <c r="N1183" s="13">
        <v>22</v>
      </c>
      <c r="O1183" s="15"/>
      <c r="P1183" s="6">
        <v>41395.820543981477</v>
      </c>
      <c r="Q1183" s="12"/>
      <c r="R1183" s="17" t="s">
        <v>3844</v>
      </c>
      <c r="S1183" s="12"/>
      <c r="T1183" s="12"/>
      <c r="U1183" s="10" t="str">
        <f>HYPERLINK("https://pbs.twimg.com/profile_images/3601799220/eab02de39bb85f1a72013118b347d784.jpeg","View")</f>
        <v>View</v>
      </c>
    </row>
    <row r="1184" spans="1:21" ht="102">
      <c r="A1184" s="6">
        <v>43419.788229166668</v>
      </c>
      <c r="B1184" s="7" t="str">
        <f>HYPERLINK("https://twitter.com/Noomenombres","@Noomenombres")</f>
        <v>@Noomenombres</v>
      </c>
      <c r="C1184" s="8" t="s">
        <v>3847</v>
      </c>
      <c r="D1184" s="9" t="s">
        <v>3848</v>
      </c>
      <c r="E1184" s="10" t="str">
        <f>HYPERLINK("https://twitter.com/Noomenombres/status/1063128256981991424","1063128256981991424")</f>
        <v>1063128256981991424</v>
      </c>
      <c r="F1184" s="11" t="s">
        <v>3849</v>
      </c>
      <c r="G1184" s="11" t="s">
        <v>3850</v>
      </c>
      <c r="H1184" s="12"/>
      <c r="I1184" s="13">
        <v>1</v>
      </c>
      <c r="J1184" s="13">
        <v>2</v>
      </c>
      <c r="K1184" s="14" t="str">
        <f>HYPERLINK("http://twitter.com/download/iphone","Twitter for iPhone")</f>
        <v>Twitter for iPhone</v>
      </c>
      <c r="L1184" s="13">
        <v>121</v>
      </c>
      <c r="M1184" s="13">
        <v>712</v>
      </c>
      <c r="N1184" s="13">
        <v>2</v>
      </c>
      <c r="O1184" s="15"/>
      <c r="P1184" s="6">
        <v>43066.525254629625</v>
      </c>
      <c r="Q1184" s="12"/>
      <c r="R1184" s="17" t="s">
        <v>3851</v>
      </c>
      <c r="S1184" s="12"/>
      <c r="T1184" s="12"/>
      <c r="U1184" s="10" t="str">
        <f>HYPERLINK("https://pbs.twimg.com/profile_images/1063831798856253443/P_afJofN.jpg","View")</f>
        <v>View</v>
      </c>
    </row>
    <row r="1185" spans="1:21" ht="20.399999999999999">
      <c r="A1185" s="6">
        <v>43419.786851851852</v>
      </c>
      <c r="B1185" s="7" t="str">
        <f>HYPERLINK("https://twitter.com/irka2000","@irka2000")</f>
        <v>@irka2000</v>
      </c>
      <c r="C1185" s="8" t="s">
        <v>4737</v>
      </c>
      <c r="D1185" s="9" t="s">
        <v>3908</v>
      </c>
      <c r="E1185" s="10" t="str">
        <f>HYPERLINK("https://twitter.com/irka2000/status/1063127757935312896","1063127757935312896")</f>
        <v>1063127757935312896</v>
      </c>
      <c r="F1185" s="11" t="s">
        <v>2433</v>
      </c>
      <c r="G1185" s="12"/>
      <c r="H1185" s="12"/>
      <c r="I1185" s="13">
        <v>0</v>
      </c>
      <c r="J1185" s="13">
        <v>0</v>
      </c>
      <c r="K1185" s="14" t="str">
        <f>HYPERLINK("http://twitter.com/download/android","Twitter for Android")</f>
        <v>Twitter for Android</v>
      </c>
      <c r="L1185" s="13">
        <v>142</v>
      </c>
      <c r="M1185" s="13">
        <v>246</v>
      </c>
      <c r="N1185" s="13">
        <v>0</v>
      </c>
      <c r="O1185" s="15"/>
      <c r="P1185" s="6">
        <v>40765.045347222222</v>
      </c>
      <c r="Q1185" s="12"/>
      <c r="R1185" s="21"/>
      <c r="S1185" s="12"/>
      <c r="T1185" s="12"/>
      <c r="U1185" s="10" t="str">
        <f>HYPERLINK("https://pbs.twimg.com/profile_images/1046497579314401280/J7Ub2qri.jpg","View")</f>
        <v>View</v>
      </c>
    </row>
    <row r="1186" spans="1:21" ht="40.799999999999997">
      <c r="A1186" s="6">
        <v>43419.786192129628</v>
      </c>
      <c r="B1186" s="7" t="str">
        <f>HYPERLINK("https://twitter.com/VoxTerrassa","@VoxTerrassa")</f>
        <v>@VoxTerrassa</v>
      </c>
      <c r="C1186" s="8" t="s">
        <v>3750</v>
      </c>
      <c r="D1186" s="9" t="s">
        <v>3751</v>
      </c>
      <c r="E1186" s="10" t="str">
        <f>HYPERLINK("https://twitter.com/VoxTerrassa/status/1063127518654484481","1063127518654484481")</f>
        <v>1063127518654484481</v>
      </c>
      <c r="F1186" s="11" t="s">
        <v>3752</v>
      </c>
      <c r="G1186" s="12"/>
      <c r="H1186" s="12"/>
      <c r="I1186" s="13">
        <v>0</v>
      </c>
      <c r="J1186" s="13">
        <v>1</v>
      </c>
      <c r="K1186" s="14" t="str">
        <f>HYPERLINK("http://instagram.com","Instagram")</f>
        <v>Instagram</v>
      </c>
      <c r="L1186" s="13">
        <v>62</v>
      </c>
      <c r="M1186" s="13">
        <v>24</v>
      </c>
      <c r="N1186" s="13">
        <v>0</v>
      </c>
      <c r="O1186" s="15"/>
      <c r="P1186" s="6">
        <v>43183.641932870371</v>
      </c>
      <c r="Q1186" s="16" t="s">
        <v>3755</v>
      </c>
      <c r="R1186" s="17" t="s">
        <v>3756</v>
      </c>
      <c r="S1186" s="11" t="s">
        <v>1118</v>
      </c>
      <c r="T1186" s="12"/>
      <c r="U1186" s="10" t="str">
        <f>HYPERLINK("https://pbs.twimg.com/profile_images/1053268791700930562/Tct3JseO.jpg","View")</f>
        <v>View</v>
      </c>
    </row>
    <row r="1187" spans="1:21" ht="20.399999999999999">
      <c r="A1187" s="6">
        <v>43419.773715277777</v>
      </c>
      <c r="B1187" s="7" t="str">
        <f>HYPERLINK("https://twitter.com/AlfonsoRojoPD","@AlfonsoRojoPD")</f>
        <v>@AlfonsoRojoPD</v>
      </c>
      <c r="C1187" s="8" t="s">
        <v>4135</v>
      </c>
      <c r="D1187" s="9" t="s">
        <v>2432</v>
      </c>
      <c r="E1187" s="10" t="str">
        <f>HYPERLINK("https://twitter.com/AlfonsoRojoPD/status/1063122997979033600","1063122997979033600")</f>
        <v>1063122997979033600</v>
      </c>
      <c r="F1187" s="11" t="s">
        <v>3042</v>
      </c>
      <c r="G1187" s="12"/>
      <c r="H1187" s="12"/>
      <c r="I1187" s="13">
        <v>91</v>
      </c>
      <c r="J1187" s="13">
        <v>121</v>
      </c>
      <c r="K1187" s="14" t="str">
        <f>HYPERLINK("http://twitter.com","Twitter Web Client")</f>
        <v>Twitter Web Client</v>
      </c>
      <c r="L1187" s="13">
        <v>48930</v>
      </c>
      <c r="M1187" s="13">
        <v>0</v>
      </c>
      <c r="N1187" s="13">
        <v>671</v>
      </c>
      <c r="O1187" s="23" t="s">
        <v>186</v>
      </c>
      <c r="P1187" s="6">
        <v>41704.447048611109</v>
      </c>
      <c r="Q1187" s="16" t="s">
        <v>104</v>
      </c>
      <c r="R1187" s="17" t="s">
        <v>4137</v>
      </c>
      <c r="S1187" s="11" t="s">
        <v>4138</v>
      </c>
      <c r="T1187" s="12"/>
      <c r="U1187" s="10" t="str">
        <f>HYPERLINK("https://pbs.twimg.com/profile_images/441511791210663936/QbI_6aXh.jpeg","View")</f>
        <v>View</v>
      </c>
    </row>
    <row r="1188" spans="1:21" ht="40.799999999999997">
      <c r="A1188" s="6">
        <v>43419.77043981482</v>
      </c>
      <c r="B1188" s="7" t="str">
        <f>HYPERLINK("https://twitter.com/AbaloDelgado","@AbaloDelgado")</f>
        <v>@AbaloDelgado</v>
      </c>
      <c r="C1188" s="8" t="s">
        <v>3852</v>
      </c>
      <c r="D1188" s="9" t="s">
        <v>3853</v>
      </c>
      <c r="E1188" s="10" t="str">
        <f>HYPERLINK("https://twitter.com/AbaloDelgado/status/1063121810357665796","1063121810357665796")</f>
        <v>1063121810357665796</v>
      </c>
      <c r="F1188" s="12"/>
      <c r="G1188" s="12"/>
      <c r="H1188" s="12"/>
      <c r="I1188" s="13">
        <v>0</v>
      </c>
      <c r="J1188" s="13">
        <v>0</v>
      </c>
      <c r="K1188" s="14" t="str">
        <f t="shared" ref="K1188:K1189" si="331">HYPERLINK("http://twitter.com/download/android","Twitter for Android")</f>
        <v>Twitter for Android</v>
      </c>
      <c r="L1188" s="13">
        <v>924</v>
      </c>
      <c r="M1188" s="13">
        <v>275</v>
      </c>
      <c r="N1188" s="13">
        <v>56</v>
      </c>
      <c r="O1188" s="15"/>
      <c r="P1188" s="6">
        <v>42049.682523148149</v>
      </c>
      <c r="Q1188" s="12"/>
      <c r="R1188" s="21"/>
      <c r="S1188" s="12"/>
      <c r="T1188" s="12"/>
      <c r="U1188" s="10" t="str">
        <f>HYPERLINK("https://pbs.twimg.com/profile_images/747444722432675845/gXK16cpA.jpg","View")</f>
        <v>View</v>
      </c>
    </row>
    <row r="1189" spans="1:21" ht="30.6">
      <c r="A1189" s="6">
        <v>43419.765787037039</v>
      </c>
      <c r="B1189" s="7" t="str">
        <f>HYPERLINK("https://twitter.com/CarlosValenS","@CarlosValenS")</f>
        <v>@CarlosValenS</v>
      </c>
      <c r="C1189" s="8" t="s">
        <v>3854</v>
      </c>
      <c r="D1189" s="9" t="s">
        <v>3855</v>
      </c>
      <c r="E1189" s="10" t="str">
        <f>HYPERLINK("https://twitter.com/CarlosValenS/status/1063120127519002624","1063120127519002624")</f>
        <v>1063120127519002624</v>
      </c>
      <c r="F1189" s="11" t="s">
        <v>3856</v>
      </c>
      <c r="G1189" s="12"/>
      <c r="H1189" s="12"/>
      <c r="I1189" s="13">
        <v>0</v>
      </c>
      <c r="J1189" s="13">
        <v>0</v>
      </c>
      <c r="K1189" s="14" t="str">
        <f t="shared" si="331"/>
        <v>Twitter for Android</v>
      </c>
      <c r="L1189" s="13">
        <v>394</v>
      </c>
      <c r="M1189" s="13">
        <v>548</v>
      </c>
      <c r="N1189" s="13">
        <v>11</v>
      </c>
      <c r="O1189" s="15"/>
      <c r="P1189" s="6">
        <v>40512.082233796296</v>
      </c>
      <c r="Q1189" s="16" t="s">
        <v>754</v>
      </c>
      <c r="R1189" s="17" t="s">
        <v>3857</v>
      </c>
      <c r="S1189" s="12"/>
      <c r="T1189" s="12"/>
      <c r="U1189" s="10" t="str">
        <f>HYPERLINK("https://pbs.twimg.com/profile_images/538607855554023425/-GpsV5YN.jpeg","View")</f>
        <v>View</v>
      </c>
    </row>
    <row r="1190" spans="1:21" ht="40.799999999999997">
      <c r="A1190" s="6">
        <v>43419.765682870369</v>
      </c>
      <c r="B1190" s="7" t="str">
        <f>HYPERLINK("https://twitter.com/Miotroyo2parte","@Miotroyo2parte")</f>
        <v>@Miotroyo2parte</v>
      </c>
      <c r="C1190" s="8" t="s">
        <v>3860</v>
      </c>
      <c r="D1190" s="9" t="s">
        <v>3861</v>
      </c>
      <c r="E1190" s="10" t="str">
        <f>HYPERLINK("https://twitter.com/Miotroyo2parte/status/1063120086674915328","1063120086674915328")</f>
        <v>1063120086674915328</v>
      </c>
      <c r="F1190" s="12"/>
      <c r="G1190" s="11" t="s">
        <v>3850</v>
      </c>
      <c r="H1190" s="12"/>
      <c r="I1190" s="13">
        <v>2504</v>
      </c>
      <c r="J1190" s="13">
        <v>3366</v>
      </c>
      <c r="K1190" s="14" t="str">
        <f>HYPERLINK("http://twitter.com/download/iphone","Twitter for iPhone")</f>
        <v>Twitter for iPhone</v>
      </c>
      <c r="L1190" s="13">
        <v>103455</v>
      </c>
      <c r="M1190" s="13">
        <v>23280</v>
      </c>
      <c r="N1190" s="13">
        <v>371</v>
      </c>
      <c r="O1190" s="15"/>
      <c r="P1190" s="6">
        <v>42077.077013888891</v>
      </c>
      <c r="Q1190" s="12"/>
      <c r="R1190" s="17" t="s">
        <v>3862</v>
      </c>
      <c r="S1190" s="12"/>
      <c r="T1190" s="12"/>
      <c r="U1190" s="10" t="str">
        <f>HYPERLINK("https://pbs.twimg.com/profile_images/714430309098459140/sR5PzPw0.jpg","View")</f>
        <v>View</v>
      </c>
    </row>
    <row r="1191" spans="1:21" ht="71.400000000000006">
      <c r="A1191" s="6">
        <v>43419.764849537038</v>
      </c>
      <c r="B1191" s="7" t="str">
        <f>HYPERLINK("https://twitter.com/Dani_Fernan_","@Dani_Fernan_")</f>
        <v>@Dani_Fernan_</v>
      </c>
      <c r="C1191" s="8" t="s">
        <v>3863</v>
      </c>
      <c r="D1191" s="9" t="s">
        <v>3864</v>
      </c>
      <c r="E1191" s="10" t="str">
        <f>HYPERLINK("https://twitter.com/Dani_Fernan_/status/1063119787004432384","1063119787004432384")</f>
        <v>1063119787004432384</v>
      </c>
      <c r="F1191" s="11" t="s">
        <v>3865</v>
      </c>
      <c r="G1191" s="11" t="s">
        <v>2397</v>
      </c>
      <c r="H1191" s="12"/>
      <c r="I1191" s="13">
        <v>0</v>
      </c>
      <c r="J1191" s="13">
        <v>0</v>
      </c>
      <c r="K1191" s="14" t="str">
        <f t="shared" ref="K1191:K1192" si="332">HYPERLINK("http://twitter.com/download/android","Twitter for Android")</f>
        <v>Twitter for Android</v>
      </c>
      <c r="L1191" s="13">
        <v>53</v>
      </c>
      <c r="M1191" s="13">
        <v>110</v>
      </c>
      <c r="N1191" s="13">
        <v>3</v>
      </c>
      <c r="O1191" s="15"/>
      <c r="P1191" s="6">
        <v>40289.742650462962</v>
      </c>
      <c r="Q1191" s="16" t="s">
        <v>3866</v>
      </c>
      <c r="R1191" s="17" t="s">
        <v>3867</v>
      </c>
      <c r="S1191" s="12"/>
      <c r="T1191" s="12"/>
      <c r="U1191" s="10" t="str">
        <f>HYPERLINK("https://pbs.twimg.com/profile_images/1060959704212475905/U5H9-urj.jpg","View")</f>
        <v>View</v>
      </c>
    </row>
    <row r="1192" spans="1:21" ht="51">
      <c r="A1192" s="6">
        <v>43419.764155092591</v>
      </c>
      <c r="B1192" s="7" t="str">
        <f>HYPERLINK("https://twitter.com/Guille_na_mas","@Guille_na_mas")</f>
        <v>@Guille_na_mas</v>
      </c>
      <c r="C1192" s="8" t="s">
        <v>3868</v>
      </c>
      <c r="D1192" s="9" t="s">
        <v>3869</v>
      </c>
      <c r="E1192" s="10" t="str">
        <f>HYPERLINK("https://twitter.com/Guille_na_mas/status/1063119534079594496","1063119534079594496")</f>
        <v>1063119534079594496</v>
      </c>
      <c r="F1192" s="11" t="s">
        <v>3476</v>
      </c>
      <c r="G1192" s="12"/>
      <c r="H1192" s="12"/>
      <c r="I1192" s="13">
        <v>1</v>
      </c>
      <c r="J1192" s="13">
        <v>1</v>
      </c>
      <c r="K1192" s="14" t="str">
        <f t="shared" si="332"/>
        <v>Twitter for Android</v>
      </c>
      <c r="L1192" s="13">
        <v>869</v>
      </c>
      <c r="M1192" s="13">
        <v>1560</v>
      </c>
      <c r="N1192" s="13">
        <v>1</v>
      </c>
      <c r="O1192" s="15"/>
      <c r="P1192" s="6">
        <v>43007.06287037037</v>
      </c>
      <c r="Q1192" s="16" t="s">
        <v>3870</v>
      </c>
      <c r="R1192" s="17" t="s">
        <v>3871</v>
      </c>
      <c r="S1192" s="12"/>
      <c r="T1192" s="12"/>
      <c r="U1192" s="10" t="str">
        <f>HYPERLINK("https://pbs.twimg.com/profile_images/1028789962853019648/_1EQjaQs.jpg","View")</f>
        <v>View</v>
      </c>
    </row>
    <row r="1193" spans="1:21" ht="40.799999999999997">
      <c r="A1193" s="6">
        <v>43419.762812500005</v>
      </c>
      <c r="B1193" s="7" t="str">
        <f>HYPERLINK("https://twitter.com/MolinadeSegura","@MolinadeSegura")</f>
        <v>@MolinadeSegura</v>
      </c>
      <c r="C1193" s="8" t="s">
        <v>3872</v>
      </c>
      <c r="D1193" s="9" t="s">
        <v>3873</v>
      </c>
      <c r="E1193" s="10" t="str">
        <f>HYPERLINK("https://twitter.com/MolinadeSegura/status/1063119049134129153","1063119049134129153")</f>
        <v>1063119049134129153</v>
      </c>
      <c r="F1193" s="11" t="s">
        <v>3874</v>
      </c>
      <c r="G1193" s="12"/>
      <c r="H1193" s="12"/>
      <c r="I1193" s="13">
        <v>4</v>
      </c>
      <c r="J1193" s="13">
        <v>7</v>
      </c>
      <c r="K1193" s="14" t="str">
        <f t="shared" ref="K1193:K1194" si="333">HYPERLINK("http://twitter.com","Twitter Web Client")</f>
        <v>Twitter Web Client</v>
      </c>
      <c r="L1193" s="13">
        <v>3672</v>
      </c>
      <c r="M1193" s="13">
        <v>4358</v>
      </c>
      <c r="N1193" s="13">
        <v>86</v>
      </c>
      <c r="O1193" s="15"/>
      <c r="P1193" s="6">
        <v>39769.3284837963</v>
      </c>
      <c r="Q1193" s="16" t="s">
        <v>3875</v>
      </c>
      <c r="R1193" s="17" t="s">
        <v>3876</v>
      </c>
      <c r="S1193" s="11" t="s">
        <v>3877</v>
      </c>
      <c r="T1193" s="12"/>
      <c r="U1193" s="10" t="str">
        <f>HYPERLINK("https://pbs.twimg.com/profile_images/1063050821192073216/J4R_F4m3.jpg","View")</f>
        <v>View</v>
      </c>
    </row>
    <row r="1194" spans="1:21" ht="40.799999999999997">
      <c r="A1194" s="6">
        <v>43419.760023148148</v>
      </c>
      <c r="B1194" s="7" t="str">
        <f>HYPERLINK("https://twitter.com/CharlesBocazas","@CharlesBocazas")</f>
        <v>@CharlesBocazas</v>
      </c>
      <c r="C1194" s="8" t="s">
        <v>4757</v>
      </c>
      <c r="D1194" s="9" t="s">
        <v>4759</v>
      </c>
      <c r="E1194" s="10" t="str">
        <f>HYPERLINK("https://twitter.com/CharlesBocazas/status/1063118036796870661","1063118036796870661")</f>
        <v>1063118036796870661</v>
      </c>
      <c r="F1194" s="11" t="s">
        <v>4760</v>
      </c>
      <c r="G1194" s="12"/>
      <c r="H1194" s="12"/>
      <c r="I1194" s="13">
        <v>0</v>
      </c>
      <c r="J1194" s="13">
        <v>1</v>
      </c>
      <c r="K1194" s="14" t="str">
        <f t="shared" si="333"/>
        <v>Twitter Web Client</v>
      </c>
      <c r="L1194" s="13">
        <v>1076</v>
      </c>
      <c r="M1194" s="13">
        <v>618</v>
      </c>
      <c r="N1194" s="13">
        <v>16</v>
      </c>
      <c r="O1194" s="15"/>
      <c r="P1194" s="6">
        <v>41620.562314814815</v>
      </c>
      <c r="Q1194" s="12"/>
      <c r="R1194" s="17" t="s">
        <v>4761</v>
      </c>
      <c r="S1194" s="11" t="s">
        <v>4762</v>
      </c>
      <c r="T1194" s="12"/>
      <c r="U1194" s="10" t="str">
        <f>HYPERLINK("https://pbs.twimg.com/profile_images/504735006124568576/4cL8sSJI.jpeg","View")</f>
        <v>View</v>
      </c>
    </row>
    <row r="1195" spans="1:21" ht="81.599999999999994">
      <c r="A1195" s="6">
        <v>43419.754155092596</v>
      </c>
      <c r="B1195" s="7" t="str">
        <f>HYPERLINK("https://twitter.com/Igarrigavaz","@Igarrigavaz")</f>
        <v>@Igarrigavaz</v>
      </c>
      <c r="C1195" s="8" t="s">
        <v>3878</v>
      </c>
      <c r="D1195" s="9" t="s">
        <v>3879</v>
      </c>
      <c r="E1195" s="10" t="str">
        <f>HYPERLINK("https://twitter.com/Igarrigavaz/status/1063115910205095938","1063115910205095938")</f>
        <v>1063115910205095938</v>
      </c>
      <c r="F1195" s="11" t="s">
        <v>3606</v>
      </c>
      <c r="G1195" s="11" t="s">
        <v>3607</v>
      </c>
      <c r="H1195" s="12"/>
      <c r="I1195" s="13">
        <v>102</v>
      </c>
      <c r="J1195" s="13">
        <v>140</v>
      </c>
      <c r="K1195" s="14" t="str">
        <f>HYPERLINK("http://twitter.com/download/android","Twitter for Android")</f>
        <v>Twitter for Android</v>
      </c>
      <c r="L1195" s="13">
        <v>7804</v>
      </c>
      <c r="M1195" s="13">
        <v>836</v>
      </c>
      <c r="N1195" s="13">
        <v>56</v>
      </c>
      <c r="O1195" s="15"/>
      <c r="P1195" s="6">
        <v>41957.849293981482</v>
      </c>
      <c r="Q1195" s="16" t="s">
        <v>2605</v>
      </c>
      <c r="R1195" s="17" t="s">
        <v>3880</v>
      </c>
      <c r="S1195" s="12"/>
      <c r="T1195" s="12"/>
      <c r="U1195" s="10" t="str">
        <f>HYPERLINK("https://pbs.twimg.com/profile_images/1062071111075196929/w6HXQq42.jpg","View")</f>
        <v>View</v>
      </c>
    </row>
    <row r="1196" spans="1:21" ht="51">
      <c r="A1196" s="6">
        <v>43419.751388888893</v>
      </c>
      <c r="B1196" s="7" t="str">
        <f>HYPERLINK("https://twitter.com/bitMomentum","@bitMomentum")</f>
        <v>@bitMomentum</v>
      </c>
      <c r="C1196" s="8" t="s">
        <v>368</v>
      </c>
      <c r="D1196" s="9" t="s">
        <v>3881</v>
      </c>
      <c r="E1196" s="10" t="str">
        <f>HYPERLINK("https://twitter.com/bitMomentum/status/1063114906701099010","1063114906701099010")</f>
        <v>1063114906701099010</v>
      </c>
      <c r="F1196" s="12"/>
      <c r="G1196" s="12"/>
      <c r="H1196" s="12"/>
      <c r="I1196" s="13">
        <v>0</v>
      </c>
      <c r="J1196" s="13">
        <v>0</v>
      </c>
      <c r="K1196" s="14" t="str">
        <f>HYPERLINK("http://www.bitmomentum.com","bitMomentum Bot")</f>
        <v>bitMomentum Bot</v>
      </c>
      <c r="L1196" s="13">
        <v>10132</v>
      </c>
      <c r="M1196" s="13">
        <v>1060</v>
      </c>
      <c r="N1196" s="13">
        <v>267</v>
      </c>
      <c r="O1196" s="15"/>
      <c r="P1196" s="6">
        <v>41608.667511574073</v>
      </c>
      <c r="Q1196" s="12"/>
      <c r="R1196" s="17" t="s">
        <v>371</v>
      </c>
      <c r="S1196" s="11" t="s">
        <v>372</v>
      </c>
      <c r="T1196" s="12"/>
      <c r="U1196" s="10" t="str">
        <f>HYPERLINK("https://pbs.twimg.com/profile_images/378800000862185241/20ij2H3u.png","View")</f>
        <v>View</v>
      </c>
    </row>
    <row r="1197" spans="1:21" ht="30.6">
      <c r="A1197" s="6">
        <v>43419.741527777776</v>
      </c>
      <c r="B1197" s="7" t="str">
        <f>HYPERLINK("https://twitter.com/jfenoy4","@jfenoy4")</f>
        <v>@jfenoy4</v>
      </c>
      <c r="C1197" s="8" t="s">
        <v>3882</v>
      </c>
      <c r="D1197" s="9" t="s">
        <v>3883</v>
      </c>
      <c r="E1197" s="10" t="str">
        <f>HYPERLINK("https://twitter.com/jfenoy4/status/1063111333997146112","1063111333997146112")</f>
        <v>1063111333997146112</v>
      </c>
      <c r="F1197" s="12"/>
      <c r="G1197" s="12"/>
      <c r="H1197" s="12"/>
      <c r="I1197" s="13">
        <v>0</v>
      </c>
      <c r="J1197" s="13">
        <v>0</v>
      </c>
      <c r="K1197" s="14" t="str">
        <f>HYPERLINK("http://twitter.com/download/iphone","Twitter for iPhone")</f>
        <v>Twitter for iPhone</v>
      </c>
      <c r="L1197" s="13">
        <v>32</v>
      </c>
      <c r="M1197" s="13">
        <v>175</v>
      </c>
      <c r="N1197" s="13">
        <v>0</v>
      </c>
      <c r="O1197" s="15"/>
      <c r="P1197" s="6">
        <v>41409.99391203704</v>
      </c>
      <c r="Q1197" s="12"/>
      <c r="R1197" s="21"/>
      <c r="S1197" s="12"/>
      <c r="T1197" s="12"/>
      <c r="U1197" s="10" t="str">
        <f>HYPERLINK("https://pbs.twimg.com/profile_images/914601760840470528/6Du0tJYf.jpg","View")</f>
        <v>View</v>
      </c>
    </row>
    <row r="1198" spans="1:21" ht="20.399999999999999">
      <c r="A1198" s="6">
        <v>43419.74145833333</v>
      </c>
      <c r="B1198" s="7" t="str">
        <f>HYPERLINK("https://twitter.com/PattyMises","@PattyMises")</f>
        <v>@PattyMises</v>
      </c>
      <c r="C1198" s="8" t="s">
        <v>3888</v>
      </c>
      <c r="D1198" s="9" t="s">
        <v>3889</v>
      </c>
      <c r="E1198" s="10" t="str">
        <f>HYPERLINK("https://twitter.com/PattyMises/status/1063111310450278400","1063111310450278400")</f>
        <v>1063111310450278400</v>
      </c>
      <c r="F1198" s="12"/>
      <c r="G1198" s="11" t="s">
        <v>3890</v>
      </c>
      <c r="H1198" s="12"/>
      <c r="I1198" s="13">
        <v>0</v>
      </c>
      <c r="J1198" s="13">
        <v>0</v>
      </c>
      <c r="K1198" s="14" t="str">
        <f>HYPERLINK("http://twitter.com/download/android","Twitter for Android")</f>
        <v>Twitter for Android</v>
      </c>
      <c r="L1198" s="13">
        <v>502</v>
      </c>
      <c r="M1198" s="13">
        <v>815</v>
      </c>
      <c r="N1198" s="13">
        <v>4</v>
      </c>
      <c r="O1198" s="15"/>
      <c r="P1198" s="6">
        <v>40809.314212962963</v>
      </c>
      <c r="Q1198" s="16" t="s">
        <v>3891</v>
      </c>
      <c r="R1198" s="17" t="s">
        <v>3892</v>
      </c>
      <c r="S1198" s="12"/>
      <c r="T1198" s="12"/>
      <c r="U1198" s="10" t="str">
        <f>HYPERLINK("https://pbs.twimg.com/profile_images/907337317156884480/wSS0N6d6.jpg","View")</f>
        <v>View</v>
      </c>
    </row>
    <row r="1199" spans="1:21" ht="51">
      <c r="A1199" s="6">
        <v>43419.739004629635</v>
      </c>
      <c r="B1199" s="7" t="str">
        <f>HYPERLINK("https://twitter.com/diariobalear_es","@diariobalear_es")</f>
        <v>@diariobalear_es</v>
      </c>
      <c r="C1199" s="8" t="s">
        <v>672</v>
      </c>
      <c r="D1199" s="9" t="s">
        <v>3893</v>
      </c>
      <c r="E1199" s="10" t="str">
        <f>HYPERLINK("https://twitter.com/diariobalear_es/status/1063110422209929216","1063110422209929216")</f>
        <v>1063110422209929216</v>
      </c>
      <c r="F1199" s="11" t="s">
        <v>3894</v>
      </c>
      <c r="G1199" s="12"/>
      <c r="H1199" s="12"/>
      <c r="I1199" s="13">
        <v>4</v>
      </c>
      <c r="J1199" s="13">
        <v>5</v>
      </c>
      <c r="K1199" s="14" t="str">
        <f>HYPERLINK("http://twitter.com","Twitter Web Client")</f>
        <v>Twitter Web Client</v>
      </c>
      <c r="L1199" s="13">
        <v>3196</v>
      </c>
      <c r="M1199" s="13">
        <v>347</v>
      </c>
      <c r="N1199" s="13">
        <v>71</v>
      </c>
      <c r="O1199" s="15"/>
      <c r="P1199" s="6">
        <v>41694.754687499997</v>
      </c>
      <c r="Q1199" s="16" t="s">
        <v>675</v>
      </c>
      <c r="R1199" s="17" t="s">
        <v>676</v>
      </c>
      <c r="S1199" s="11" t="s">
        <v>677</v>
      </c>
      <c r="T1199" s="12"/>
      <c r="U1199" s="10" t="str">
        <f>HYPERLINK("https://pbs.twimg.com/profile_images/992417277797597184/28OVRjFF.jpg","View")</f>
        <v>View</v>
      </c>
    </row>
    <row r="1200" spans="1:21" ht="20.399999999999999">
      <c r="A1200" s="6">
        <v>43419.736307870371</v>
      </c>
      <c r="B1200" s="7" t="str">
        <f>HYPERLINK("https://twitter.com/calamardobobesm","@calamardobobesm")</f>
        <v>@calamardobobesm</v>
      </c>
      <c r="C1200" s="8" t="s">
        <v>3898</v>
      </c>
      <c r="D1200" s="9" t="s">
        <v>3899</v>
      </c>
      <c r="E1200" s="10" t="str">
        <f>HYPERLINK("https://twitter.com/calamardobobesm/status/1063109444295409665","1063109444295409665")</f>
        <v>1063109444295409665</v>
      </c>
      <c r="F1200" s="12"/>
      <c r="G1200" s="12"/>
      <c r="H1200" s="12"/>
      <c r="I1200" s="13">
        <v>1</v>
      </c>
      <c r="J1200" s="13">
        <v>1</v>
      </c>
      <c r="K1200" s="14" t="str">
        <f t="shared" ref="K1200:K1201" si="334">HYPERLINK("http://twitter.com/download/android","Twitter for Android")</f>
        <v>Twitter for Android</v>
      </c>
      <c r="L1200" s="13">
        <v>86</v>
      </c>
      <c r="M1200" s="13">
        <v>762</v>
      </c>
      <c r="N1200" s="13">
        <v>2</v>
      </c>
      <c r="O1200" s="15"/>
      <c r="P1200" s="6">
        <v>42204.875104166669</v>
      </c>
      <c r="Q1200" s="16" t="s">
        <v>3903</v>
      </c>
      <c r="R1200" s="17" t="s">
        <v>3904</v>
      </c>
      <c r="S1200" s="12"/>
      <c r="T1200" s="12"/>
      <c r="U1200" s="10" t="str">
        <f>HYPERLINK("https://pbs.twimg.com/profile_images/928364196844142597/zWc5Ygcd.jpg","View")</f>
        <v>View</v>
      </c>
    </row>
    <row r="1201" spans="1:21" ht="30.6">
      <c r="A1201" s="6">
        <v>43419.729120370372</v>
      </c>
      <c r="B1201" s="7" t="str">
        <f>HYPERLINK("https://twitter.com/ExpositoOrteg","@ExpositoOrteg")</f>
        <v>@ExpositoOrteg</v>
      </c>
      <c r="C1201" s="8" t="s">
        <v>3909</v>
      </c>
      <c r="D1201" s="9" t="s">
        <v>3910</v>
      </c>
      <c r="E1201" s="10" t="str">
        <f>HYPERLINK("https://twitter.com/ExpositoOrteg/status/1063106839460675584","1063106839460675584")</f>
        <v>1063106839460675584</v>
      </c>
      <c r="F1201" s="12"/>
      <c r="G1201" s="11" t="s">
        <v>3911</v>
      </c>
      <c r="H1201" s="12"/>
      <c r="I1201" s="13">
        <v>15</v>
      </c>
      <c r="J1201" s="13">
        <v>15</v>
      </c>
      <c r="K1201" s="14" t="str">
        <f t="shared" si="334"/>
        <v>Twitter for Android</v>
      </c>
      <c r="L1201" s="13">
        <v>19680</v>
      </c>
      <c r="M1201" s="13">
        <v>12915</v>
      </c>
      <c r="N1201" s="13">
        <v>102</v>
      </c>
      <c r="O1201" s="15"/>
      <c r="P1201" s="6">
        <v>41567.481932870374</v>
      </c>
      <c r="Q1201" s="16" t="s">
        <v>3912</v>
      </c>
      <c r="R1201" s="17" t="s">
        <v>3913</v>
      </c>
      <c r="S1201" s="12"/>
      <c r="T1201" s="12"/>
      <c r="U1201" s="10" t="str">
        <f>HYPERLINK("https://pbs.twimg.com/profile_images/1015569711843512320/N5iD7fWY.jpg","View")</f>
        <v>View</v>
      </c>
    </row>
    <row r="1202" spans="1:21" ht="51">
      <c r="A1202" s="6">
        <v>43419.722199074073</v>
      </c>
      <c r="B1202" s="7" t="str">
        <f>HYPERLINK("https://twitter.com/vox_za","@vox_za")</f>
        <v>@vox_za</v>
      </c>
      <c r="C1202" s="8" t="s">
        <v>3253</v>
      </c>
      <c r="D1202" s="9" t="s">
        <v>3914</v>
      </c>
      <c r="E1202" s="10" t="str">
        <f>HYPERLINK("https://twitter.com/vox_za/status/1063104331635965958","1063104331635965958")</f>
        <v>1063104331635965958</v>
      </c>
      <c r="F1202" s="12"/>
      <c r="G1202" s="11" t="s">
        <v>3916</v>
      </c>
      <c r="H1202" s="12"/>
      <c r="I1202" s="13">
        <v>4</v>
      </c>
      <c r="J1202" s="13">
        <v>8</v>
      </c>
      <c r="K1202" s="14" t="str">
        <f>HYPERLINK("http://twitter.com/download/iphone","Twitter for iPhone")</f>
        <v>Twitter for iPhone</v>
      </c>
      <c r="L1202" s="13">
        <v>832</v>
      </c>
      <c r="M1202" s="13">
        <v>368</v>
      </c>
      <c r="N1202" s="13">
        <v>3</v>
      </c>
      <c r="O1202" s="15"/>
      <c r="P1202" s="6">
        <v>43032.95144675926</v>
      </c>
      <c r="Q1202" s="16" t="s">
        <v>3257</v>
      </c>
      <c r="R1202" s="17" t="s">
        <v>3258</v>
      </c>
      <c r="S1202" s="11" t="s">
        <v>1118</v>
      </c>
      <c r="T1202" s="12"/>
      <c r="U1202" s="10" t="str">
        <f>HYPERLINK("https://pbs.twimg.com/profile_images/1049600232655339520/pdSLqm13.jpg","View")</f>
        <v>View</v>
      </c>
    </row>
    <row r="1203" spans="1:21" ht="71.400000000000006">
      <c r="A1203" s="6">
        <v>43419.721087962964</v>
      </c>
      <c r="B1203" s="7" t="str">
        <f>HYPERLINK("https://twitter.com/alexfercr71","@alexfercr71")</f>
        <v>@alexfercr71</v>
      </c>
      <c r="C1203" s="8" t="s">
        <v>3920</v>
      </c>
      <c r="D1203" s="9" t="s">
        <v>3921</v>
      </c>
      <c r="E1203" s="10" t="str">
        <f>HYPERLINK("https://twitter.com/alexfercr71/status/1063103925757325313","1063103925757325313")</f>
        <v>1063103925757325313</v>
      </c>
      <c r="F1203" s="11" t="s">
        <v>3509</v>
      </c>
      <c r="G1203" s="11" t="s">
        <v>2397</v>
      </c>
      <c r="H1203" s="12"/>
      <c r="I1203" s="13">
        <v>0</v>
      </c>
      <c r="J1203" s="13">
        <v>0</v>
      </c>
      <c r="K1203" s="14" t="str">
        <f>HYPERLINK("http://twitter.com","Twitter Web Client")</f>
        <v>Twitter Web Client</v>
      </c>
      <c r="L1203" s="13">
        <v>66</v>
      </c>
      <c r="M1203" s="13">
        <v>97</v>
      </c>
      <c r="N1203" s="13">
        <v>1</v>
      </c>
      <c r="O1203" s="15"/>
      <c r="P1203" s="6">
        <v>42411.697800925926</v>
      </c>
      <c r="Q1203" s="12"/>
      <c r="R1203" s="21"/>
      <c r="S1203" s="12"/>
      <c r="T1203" s="12"/>
      <c r="U1203" s="10" t="str">
        <f>HYPERLINK("https://pbs.twimg.com/profile_images/1042080716320919552/CB3xByN_.jpg","View")</f>
        <v>View</v>
      </c>
    </row>
    <row r="1204" spans="1:21" ht="61.2">
      <c r="A1204" s="6">
        <v>43419.71261574074</v>
      </c>
      <c r="B1204" s="7" t="str">
        <f>HYPERLINK("https://twitter.com/AudienciaN_Sup","@AudienciaN_Sup")</f>
        <v>@AudienciaN_Sup</v>
      </c>
      <c r="C1204" s="8" t="s">
        <v>3922</v>
      </c>
      <c r="D1204" s="9" t="s">
        <v>3923</v>
      </c>
      <c r="E1204" s="10" t="str">
        <f>HYPERLINK("https://twitter.com/AudienciaN_Sup/status/1063100858819330051","1063100858819330051")</f>
        <v>1063100858819330051</v>
      </c>
      <c r="F1204" s="11" t="s">
        <v>3924</v>
      </c>
      <c r="G1204" s="12"/>
      <c r="H1204" s="12"/>
      <c r="I1204" s="13">
        <v>1</v>
      </c>
      <c r="J1204" s="13">
        <v>2</v>
      </c>
      <c r="K1204" s="14" t="str">
        <f>HYPERLINK("http://twitter.com/download/iphone","Twitter for iPhone")</f>
        <v>Twitter for iPhone</v>
      </c>
      <c r="L1204" s="13">
        <v>291</v>
      </c>
      <c r="M1204" s="13">
        <v>186</v>
      </c>
      <c r="N1204" s="13">
        <v>3</v>
      </c>
      <c r="O1204" s="15"/>
      <c r="P1204" s="6">
        <v>43264.015046296292</v>
      </c>
      <c r="Q1204" s="12"/>
      <c r="R1204" s="17" t="s">
        <v>3926</v>
      </c>
      <c r="S1204" s="12"/>
      <c r="T1204" s="12"/>
      <c r="U1204" s="10" t="str">
        <f>HYPERLINK("https://pbs.twimg.com/profile_images/1054286286511575041/NwNkxgtC.jpg","View")</f>
        <v>View</v>
      </c>
    </row>
    <row r="1205" spans="1:21" ht="51">
      <c r="A1205" s="6">
        <v>43419.710798611108</v>
      </c>
      <c r="B1205" s="7" t="str">
        <f>HYPERLINK("https://twitter.com/Crooperc","@Crooperc")</f>
        <v>@Crooperc</v>
      </c>
      <c r="C1205" s="8" t="s">
        <v>4796</v>
      </c>
      <c r="D1205" s="9" t="s">
        <v>4797</v>
      </c>
      <c r="E1205" s="10" t="str">
        <f>HYPERLINK("https://twitter.com/Crooperc/status/1063100196807151617","1063100196807151617")</f>
        <v>1063100196807151617</v>
      </c>
      <c r="F1205" s="12"/>
      <c r="G1205" s="12"/>
      <c r="H1205" s="12"/>
      <c r="I1205" s="13">
        <v>1</v>
      </c>
      <c r="J1205" s="13">
        <v>1</v>
      </c>
      <c r="K1205" s="14" t="str">
        <f t="shared" ref="K1205:K1206" si="335">HYPERLINK("http://twitter.com","Twitter Web Client")</f>
        <v>Twitter Web Client</v>
      </c>
      <c r="L1205" s="13">
        <v>448</v>
      </c>
      <c r="M1205" s="13">
        <v>1008</v>
      </c>
      <c r="N1205" s="13">
        <v>7</v>
      </c>
      <c r="O1205" s="15"/>
      <c r="P1205" s="6">
        <v>40576.682604166665</v>
      </c>
      <c r="Q1205" s="16" t="s">
        <v>44</v>
      </c>
      <c r="R1205" s="17" t="s">
        <v>4800</v>
      </c>
      <c r="S1205" s="12"/>
      <c r="T1205" s="12"/>
      <c r="U1205" s="10" t="str">
        <f>HYPERLINK("https://pbs.twimg.com/profile_images/710548663265857536/-TZuIifW.jpg","View")</f>
        <v>View</v>
      </c>
    </row>
    <row r="1206" spans="1:21" ht="40.799999999999997">
      <c r="A1206" s="6">
        <v>43419.710266203707</v>
      </c>
      <c r="B1206" s="7" t="str">
        <f>HYPERLINK("https://twitter.com/nepesh66","@nepesh66")</f>
        <v>@nepesh66</v>
      </c>
      <c r="C1206" s="8" t="s">
        <v>3928</v>
      </c>
      <c r="D1206" s="9" t="s">
        <v>3929</v>
      </c>
      <c r="E1206" s="10" t="str">
        <f>HYPERLINK("https://twitter.com/nepesh66/status/1063100004594802688","1063100004594802688")</f>
        <v>1063100004594802688</v>
      </c>
      <c r="F1206" s="11" t="s">
        <v>2629</v>
      </c>
      <c r="G1206" s="12"/>
      <c r="H1206" s="12"/>
      <c r="I1206" s="13">
        <v>1</v>
      </c>
      <c r="J1206" s="13">
        <v>1</v>
      </c>
      <c r="K1206" s="14" t="str">
        <f t="shared" si="335"/>
        <v>Twitter Web Client</v>
      </c>
      <c r="L1206" s="13">
        <v>393</v>
      </c>
      <c r="M1206" s="13">
        <v>418</v>
      </c>
      <c r="N1206" s="13">
        <v>5</v>
      </c>
      <c r="O1206" s="15"/>
      <c r="P1206" s="6">
        <v>39579.265601851854</v>
      </c>
      <c r="Q1206" s="16" t="s">
        <v>3930</v>
      </c>
      <c r="R1206" s="17" t="s">
        <v>3931</v>
      </c>
      <c r="S1206" s="12"/>
      <c r="T1206" s="12"/>
      <c r="U1206" s="10" t="str">
        <f>HYPERLINK("https://pbs.twimg.com/profile_images/903439776354840576/z2uqhZGL.jpg","View")</f>
        <v>View</v>
      </c>
    </row>
    <row r="1207" spans="1:21" ht="40.799999999999997">
      <c r="A1207" s="6">
        <v>43419.709722222222</v>
      </c>
      <c r="B1207" s="7" t="str">
        <f>HYPERLINK("https://twitter.com/bitMomentum","@bitMomentum")</f>
        <v>@bitMomentum</v>
      </c>
      <c r="C1207" s="8" t="s">
        <v>368</v>
      </c>
      <c r="D1207" s="9" t="s">
        <v>3932</v>
      </c>
      <c r="E1207" s="10" t="str">
        <f>HYPERLINK("https://twitter.com/bitMomentum/status/1063099807433220096","1063099807433220096")</f>
        <v>1063099807433220096</v>
      </c>
      <c r="F1207" s="12"/>
      <c r="G1207" s="12"/>
      <c r="H1207" s="12"/>
      <c r="I1207" s="13">
        <v>0</v>
      </c>
      <c r="J1207" s="13">
        <v>0</v>
      </c>
      <c r="K1207" s="14" t="str">
        <f>HYPERLINK("http://www.bitmomentum.com","bitMomentum Bot")</f>
        <v>bitMomentum Bot</v>
      </c>
      <c r="L1207" s="13">
        <v>10132</v>
      </c>
      <c r="M1207" s="13">
        <v>1060</v>
      </c>
      <c r="N1207" s="13">
        <v>267</v>
      </c>
      <c r="O1207" s="15"/>
      <c r="P1207" s="6">
        <v>41608.667511574073</v>
      </c>
      <c r="Q1207" s="12"/>
      <c r="R1207" s="17" t="s">
        <v>371</v>
      </c>
      <c r="S1207" s="11" t="s">
        <v>372</v>
      </c>
      <c r="T1207" s="12"/>
      <c r="U1207" s="10" t="str">
        <f>HYPERLINK("https://pbs.twimg.com/profile_images/378800000862185241/20ij2H3u.png","View")</f>
        <v>View</v>
      </c>
    </row>
    <row r="1208" spans="1:21" ht="30.6">
      <c r="A1208" s="6">
        <v>43419.708877314813</v>
      </c>
      <c r="B1208" s="7" t="str">
        <f>HYPERLINK("https://twitter.com/David_Amo","@David_Amo")</f>
        <v>@David_Amo</v>
      </c>
      <c r="C1208" s="8" t="s">
        <v>3933</v>
      </c>
      <c r="D1208" s="9" t="s">
        <v>3934</v>
      </c>
      <c r="E1208" s="10" t="str">
        <f>HYPERLINK("https://twitter.com/David_Amo/status/1063099502435987456","1063099502435987456")</f>
        <v>1063099502435987456</v>
      </c>
      <c r="F1208" s="12"/>
      <c r="G1208" s="12"/>
      <c r="H1208" s="12"/>
      <c r="I1208" s="13">
        <v>0</v>
      </c>
      <c r="J1208" s="13">
        <v>0</v>
      </c>
      <c r="K1208" s="14" t="str">
        <f>HYPERLINK("http://twitter.com","Twitter Web Client")</f>
        <v>Twitter Web Client</v>
      </c>
      <c r="L1208" s="13">
        <v>338</v>
      </c>
      <c r="M1208" s="13">
        <v>682</v>
      </c>
      <c r="N1208" s="13">
        <v>12</v>
      </c>
      <c r="O1208" s="15"/>
      <c r="P1208" s="6">
        <v>40582.868576388893</v>
      </c>
      <c r="Q1208" s="16" t="s">
        <v>3935</v>
      </c>
      <c r="R1208" s="17" t="s">
        <v>3936</v>
      </c>
      <c r="S1208" s="11" t="s">
        <v>3937</v>
      </c>
      <c r="T1208" s="12"/>
      <c r="U1208" s="10" t="str">
        <f>HYPERLINK("https://pbs.twimg.com/profile_images/910936665249771522/O1dadRt3.jpg","View")</f>
        <v>View</v>
      </c>
    </row>
    <row r="1209" spans="1:21" ht="71.400000000000006">
      <c r="A1209" s="6">
        <v>43419.708807870367</v>
      </c>
      <c r="B1209" s="7" t="str">
        <f>HYPERLINK("https://twitter.com/QLpez","@QLpez")</f>
        <v>@QLpez</v>
      </c>
      <c r="C1209" s="8" t="s">
        <v>147</v>
      </c>
      <c r="D1209" s="9" t="s">
        <v>3938</v>
      </c>
      <c r="E1209" s="10" t="str">
        <f>HYPERLINK("https://twitter.com/QLpez/status/1063099478616481792","1063099478616481792")</f>
        <v>1063099478616481792</v>
      </c>
      <c r="F1209" s="11" t="s">
        <v>3939</v>
      </c>
      <c r="G1209" s="12"/>
      <c r="H1209" s="12"/>
      <c r="I1209" s="13">
        <v>0</v>
      </c>
      <c r="J1209" s="13">
        <v>0</v>
      </c>
      <c r="K1209" s="14" t="str">
        <f>HYPERLINK("http://twitter.com/download/iphone","Twitter for iPhone")</f>
        <v>Twitter for iPhone</v>
      </c>
      <c r="L1209" s="13">
        <v>483</v>
      </c>
      <c r="M1209" s="13">
        <v>377</v>
      </c>
      <c r="N1209" s="13">
        <v>6</v>
      </c>
      <c r="O1209" s="15"/>
      <c r="P1209" s="6">
        <v>40685.987384259257</v>
      </c>
      <c r="Q1209" s="16" t="s">
        <v>66</v>
      </c>
      <c r="R1209" s="21"/>
      <c r="S1209" s="12"/>
      <c r="T1209" s="12"/>
      <c r="U1209" s="10" t="str">
        <f>HYPERLINK("https://pbs.twimg.com/profile_images/1059196365690015745/DTQxO61z.jpg","View")</f>
        <v>View</v>
      </c>
    </row>
    <row r="1210" spans="1:21" ht="30.6">
      <c r="A1210" s="6">
        <v>43419.70784722222</v>
      </c>
      <c r="B1210" s="7" t="str">
        <f>HYPERLINK("https://twitter.com/nepesh66","@nepesh66")</f>
        <v>@nepesh66</v>
      </c>
      <c r="C1210" s="8" t="s">
        <v>3928</v>
      </c>
      <c r="D1210" s="9" t="s">
        <v>3941</v>
      </c>
      <c r="E1210" s="10" t="str">
        <f>HYPERLINK("https://twitter.com/nepesh66/status/1063099130468294664","1063099130468294664")</f>
        <v>1063099130468294664</v>
      </c>
      <c r="F1210" s="11" t="s">
        <v>2629</v>
      </c>
      <c r="G1210" s="12"/>
      <c r="H1210" s="12"/>
      <c r="I1210" s="13">
        <v>0</v>
      </c>
      <c r="J1210" s="13">
        <v>0</v>
      </c>
      <c r="K1210" s="14" t="str">
        <f>HYPERLINK("http://twitter.com","Twitter Web Client")</f>
        <v>Twitter Web Client</v>
      </c>
      <c r="L1210" s="13">
        <v>393</v>
      </c>
      <c r="M1210" s="13">
        <v>418</v>
      </c>
      <c r="N1210" s="13">
        <v>5</v>
      </c>
      <c r="O1210" s="15"/>
      <c r="P1210" s="6">
        <v>39579.265601851854</v>
      </c>
      <c r="Q1210" s="16" t="s">
        <v>3930</v>
      </c>
      <c r="R1210" s="17" t="s">
        <v>3931</v>
      </c>
      <c r="S1210" s="12"/>
      <c r="T1210" s="12"/>
      <c r="U1210" s="10" t="str">
        <f>HYPERLINK("https://pbs.twimg.com/profile_images/903439776354840576/z2uqhZGL.jpg","View")</f>
        <v>View</v>
      </c>
    </row>
    <row r="1211" spans="1:21" ht="71.400000000000006">
      <c r="A1211" s="6">
        <v>43419.702650462961</v>
      </c>
      <c r="B1211" s="7" t="str">
        <f>HYPERLINK("https://twitter.com/MLobbo","@MLobbo")</f>
        <v>@MLobbo</v>
      </c>
      <c r="C1211" s="8" t="s">
        <v>3943</v>
      </c>
      <c r="D1211" s="9" t="s">
        <v>3944</v>
      </c>
      <c r="E1211" s="10" t="str">
        <f>HYPERLINK("https://twitter.com/MLobbo/status/1063097245577498624","1063097245577498624")</f>
        <v>1063097245577498624</v>
      </c>
      <c r="F1211" s="11" t="s">
        <v>3141</v>
      </c>
      <c r="G1211" s="11" t="s">
        <v>3142</v>
      </c>
      <c r="H1211" s="12"/>
      <c r="I1211" s="13">
        <v>2</v>
      </c>
      <c r="J1211" s="13">
        <v>1</v>
      </c>
      <c r="K1211" s="14" t="str">
        <f t="shared" ref="K1211:K1213" si="336">HYPERLINK("http://twitter.com/download/android","Twitter for Android")</f>
        <v>Twitter for Android</v>
      </c>
      <c r="L1211" s="13">
        <v>399</v>
      </c>
      <c r="M1211" s="13">
        <v>428</v>
      </c>
      <c r="N1211" s="13">
        <v>1</v>
      </c>
      <c r="O1211" s="15"/>
      <c r="P1211" s="6">
        <v>40421.077418981484</v>
      </c>
      <c r="Q1211" s="16" t="s">
        <v>3945</v>
      </c>
      <c r="R1211" s="17" t="s">
        <v>3946</v>
      </c>
      <c r="S1211" s="12"/>
      <c r="T1211" s="12"/>
      <c r="U1211" s="10" t="str">
        <f>HYPERLINK("https://pbs.twimg.com/profile_images/769997724926218240/HyeYbVg-.jpg","View")</f>
        <v>View</v>
      </c>
    </row>
    <row r="1212" spans="1:21" ht="61.2">
      <c r="A1212" s="6">
        <v>43419.701041666667</v>
      </c>
      <c r="B1212" s="7" t="str">
        <f>HYPERLINK("https://twitter.com/RaPiqFu","@RaPiqFu")</f>
        <v>@RaPiqFu</v>
      </c>
      <c r="C1212" s="8" t="s">
        <v>1029</v>
      </c>
      <c r="D1212" s="9" t="s">
        <v>3947</v>
      </c>
      <c r="E1212" s="10" t="str">
        <f>HYPERLINK("https://twitter.com/RaPiqFu/status/1063096661407223808","1063096661407223808")</f>
        <v>1063096661407223808</v>
      </c>
      <c r="F1212" s="11" t="s">
        <v>3509</v>
      </c>
      <c r="G1212" s="11" t="s">
        <v>2397</v>
      </c>
      <c r="H1212" s="12"/>
      <c r="I1212" s="13">
        <v>0</v>
      </c>
      <c r="J1212" s="13">
        <v>0</v>
      </c>
      <c r="K1212" s="14" t="str">
        <f t="shared" si="336"/>
        <v>Twitter for Android</v>
      </c>
      <c r="L1212" s="13">
        <v>1578</v>
      </c>
      <c r="M1212" s="13">
        <v>808</v>
      </c>
      <c r="N1212" s="13">
        <v>21</v>
      </c>
      <c r="O1212" s="15"/>
      <c r="P1212" s="6">
        <v>40595.905127314814</v>
      </c>
      <c r="Q1212" s="16" t="s">
        <v>953</v>
      </c>
      <c r="R1212" s="17" t="s">
        <v>1031</v>
      </c>
      <c r="S1212" s="12"/>
      <c r="T1212" s="12"/>
      <c r="U1212" s="10" t="str">
        <f>HYPERLINK("https://pbs.twimg.com/profile_images/1059362479975923713/VEYq9v5X.jpg","View")</f>
        <v>View</v>
      </c>
    </row>
    <row r="1213" spans="1:21" ht="30.6">
      <c r="A1213" s="6">
        <v>43419.699583333335</v>
      </c>
      <c r="B1213" s="7" t="str">
        <f>HYPERLINK("https://twitter.com/UnVampiroAndalu","@UnVampiroAndalu")</f>
        <v>@UnVampiroAndalu</v>
      </c>
      <c r="C1213" s="8" t="s">
        <v>574</v>
      </c>
      <c r="D1213" s="9" t="s">
        <v>4822</v>
      </c>
      <c r="E1213" s="10" t="str">
        <f>HYPERLINK("https://twitter.com/UnVampiroAndalu/status/1063096132870520832","1063096132870520832")</f>
        <v>1063096132870520832</v>
      </c>
      <c r="F1213" s="12"/>
      <c r="G1213" s="12"/>
      <c r="H1213" s="12"/>
      <c r="I1213" s="13">
        <v>3</v>
      </c>
      <c r="J1213" s="13">
        <v>13</v>
      </c>
      <c r="K1213" s="14" t="str">
        <f t="shared" si="336"/>
        <v>Twitter for Android</v>
      </c>
      <c r="L1213" s="13">
        <v>3089</v>
      </c>
      <c r="M1213" s="13">
        <v>345</v>
      </c>
      <c r="N1213" s="13">
        <v>28</v>
      </c>
      <c r="O1213" s="15"/>
      <c r="P1213" s="6">
        <v>41662.02584490741</v>
      </c>
      <c r="Q1213" s="16" t="s">
        <v>575</v>
      </c>
      <c r="R1213" s="17" t="s">
        <v>576</v>
      </c>
      <c r="S1213" s="12"/>
      <c r="T1213" s="12"/>
      <c r="U1213" s="10" t="str">
        <f>HYPERLINK("https://pbs.twimg.com/profile_images/1055038699879235586/lcSRB00S.jpg","View")</f>
        <v>View</v>
      </c>
    </row>
    <row r="1214" spans="1:21" ht="51">
      <c r="A1214" s="6">
        <v>43419.699444444443</v>
      </c>
      <c r="B1214" s="7" t="str">
        <f>HYPERLINK("https://twitter.com/nepesh66","@nepesh66")</f>
        <v>@nepesh66</v>
      </c>
      <c r="C1214" s="8" t="s">
        <v>3928</v>
      </c>
      <c r="D1214" s="9" t="s">
        <v>3948</v>
      </c>
      <c r="E1214" s="10" t="str">
        <f>HYPERLINK("https://twitter.com/nepesh66/status/1063096082610249728","1063096082610249728")</f>
        <v>1063096082610249728</v>
      </c>
      <c r="F1214" s="16" t="s">
        <v>3949</v>
      </c>
      <c r="G1214" s="12"/>
      <c r="H1214" s="12"/>
      <c r="I1214" s="13">
        <v>2</v>
      </c>
      <c r="J1214" s="13">
        <v>0</v>
      </c>
      <c r="K1214" s="14" t="str">
        <f>HYPERLINK("http://twitter.com","Twitter Web Client")</f>
        <v>Twitter Web Client</v>
      </c>
      <c r="L1214" s="13">
        <v>393</v>
      </c>
      <c r="M1214" s="13">
        <v>418</v>
      </c>
      <c r="N1214" s="13">
        <v>5</v>
      </c>
      <c r="O1214" s="15"/>
      <c r="P1214" s="6">
        <v>39579.265601851854</v>
      </c>
      <c r="Q1214" s="16" t="s">
        <v>3930</v>
      </c>
      <c r="R1214" s="17" t="s">
        <v>3931</v>
      </c>
      <c r="S1214" s="12"/>
      <c r="T1214" s="12"/>
      <c r="U1214" s="10" t="str">
        <f>HYPERLINK("https://pbs.twimg.com/profile_images/903439776354840576/z2uqhZGL.jpg","View")</f>
        <v>View</v>
      </c>
    </row>
    <row r="1215" spans="1:21" ht="51">
      <c r="A1215" s="6">
        <v>43419.69908564815</v>
      </c>
      <c r="B1215" s="7" t="str">
        <f>HYPERLINK("https://twitter.com/canasporespana","@canasporespana")</f>
        <v>@canasporespana</v>
      </c>
      <c r="C1215" s="8" t="s">
        <v>2720</v>
      </c>
      <c r="D1215" s="9" t="s">
        <v>3795</v>
      </c>
      <c r="E1215" s="10" t="str">
        <f>HYPERLINK("https://twitter.com/canasporespana/status/1063095953681498112","1063095953681498112")</f>
        <v>1063095953681498112</v>
      </c>
      <c r="F1215" s="12"/>
      <c r="G1215" s="11" t="s">
        <v>3649</v>
      </c>
      <c r="H1215" s="12"/>
      <c r="I1215" s="13">
        <v>249</v>
      </c>
      <c r="J1215" s="13">
        <v>417</v>
      </c>
      <c r="K1215" s="14" t="str">
        <f>HYPERLINK("http://twitter.com/download/android","Twitter for Android")</f>
        <v>Twitter for Android</v>
      </c>
      <c r="L1215" s="13">
        <v>6219</v>
      </c>
      <c r="M1215" s="13">
        <v>266</v>
      </c>
      <c r="N1215" s="13">
        <v>40</v>
      </c>
      <c r="O1215" s="15"/>
      <c r="P1215" s="6">
        <v>42712.424108796295</v>
      </c>
      <c r="Q1215" s="16" t="s">
        <v>66</v>
      </c>
      <c r="R1215" s="17" t="s">
        <v>2723</v>
      </c>
      <c r="S1215" s="11" t="s">
        <v>2724</v>
      </c>
      <c r="T1215" s="12"/>
      <c r="U1215" s="10" t="str">
        <f>HYPERLINK("https://pbs.twimg.com/profile_images/1035610115146170368/_VF2Ge_a.jpg","View")</f>
        <v>View</v>
      </c>
    </row>
    <row r="1216" spans="1:21" ht="30.6">
      <c r="A1216" s="6">
        <v>43419.697974537034</v>
      </c>
      <c r="B1216" s="7" t="str">
        <f>HYPERLINK("https://twitter.com/Realidazando","@Realidazando")</f>
        <v>@Realidazando</v>
      </c>
      <c r="C1216" s="8" t="s">
        <v>1828</v>
      </c>
      <c r="D1216" s="9" t="s">
        <v>3952</v>
      </c>
      <c r="E1216" s="10" t="str">
        <f>HYPERLINK("https://twitter.com/Realidazando/status/1063095552169181184","1063095552169181184")</f>
        <v>1063095552169181184</v>
      </c>
      <c r="F1216" s="12"/>
      <c r="G1216" s="11" t="s">
        <v>3953</v>
      </c>
      <c r="H1216" s="12"/>
      <c r="I1216" s="13">
        <v>1</v>
      </c>
      <c r="J1216" s="13">
        <v>2</v>
      </c>
      <c r="K1216" s="14" t="str">
        <f t="shared" ref="K1216:K1217" si="337">HYPERLINK("http://twitter.com","Twitter Web Client")</f>
        <v>Twitter Web Client</v>
      </c>
      <c r="L1216" s="13">
        <v>1424</v>
      </c>
      <c r="M1216" s="13">
        <v>1569</v>
      </c>
      <c r="N1216" s="13">
        <v>4</v>
      </c>
      <c r="O1216" s="15"/>
      <c r="P1216" s="6">
        <v>42877.47755787037</v>
      </c>
      <c r="Q1216" s="12"/>
      <c r="R1216" s="17" t="s">
        <v>1831</v>
      </c>
      <c r="S1216" s="12"/>
      <c r="T1216" s="12"/>
      <c r="U1216" s="10" t="str">
        <f>HYPERLINK("https://pbs.twimg.com/profile_images/1023845303810760704/TKAqLstU.jpg","View")</f>
        <v>View</v>
      </c>
    </row>
    <row r="1217" spans="1:21" ht="91.8">
      <c r="A1217" s="6">
        <v>43419.697453703702</v>
      </c>
      <c r="B1217" s="7" t="str">
        <f>HYPERLINK("https://twitter.com/MrGarmonbozia","@MrGarmonbozia")</f>
        <v>@MrGarmonbozia</v>
      </c>
      <c r="C1217" s="8" t="s">
        <v>3958</v>
      </c>
      <c r="D1217" s="9" t="s">
        <v>3959</v>
      </c>
      <c r="E1217" s="10" t="str">
        <f>HYPERLINK("https://twitter.com/MrGarmonbozia/status/1063095362406244352","1063095362406244352")</f>
        <v>1063095362406244352</v>
      </c>
      <c r="F1217" s="11" t="s">
        <v>3712</v>
      </c>
      <c r="G1217" s="11" t="s">
        <v>3713</v>
      </c>
      <c r="H1217" s="12"/>
      <c r="I1217" s="13">
        <v>0</v>
      </c>
      <c r="J1217" s="13">
        <v>5</v>
      </c>
      <c r="K1217" s="14" t="str">
        <f t="shared" si="337"/>
        <v>Twitter Web Client</v>
      </c>
      <c r="L1217" s="13">
        <v>111</v>
      </c>
      <c r="M1217" s="13">
        <v>162</v>
      </c>
      <c r="N1217" s="13">
        <v>0</v>
      </c>
      <c r="O1217" s="15"/>
      <c r="P1217" s="6">
        <v>43276.937268518523</v>
      </c>
      <c r="Q1217" s="12"/>
      <c r="R1217" s="17" t="s">
        <v>3961</v>
      </c>
      <c r="S1217" s="12"/>
      <c r="T1217" s="12"/>
      <c r="U1217" s="10" t="str">
        <f>HYPERLINK("https://pbs.twimg.com/profile_images/1011345823219757058/hprYDylU.jpg","View")</f>
        <v>View</v>
      </c>
    </row>
    <row r="1218" spans="1:21" ht="51">
      <c r="A1218" s="6">
        <v>43419.687893518523</v>
      </c>
      <c r="B1218" s="7" t="str">
        <f>HYPERLINK("https://twitter.com/APalomarGarcia","@APalomarGarcia")</f>
        <v>@APalomarGarcia</v>
      </c>
      <c r="C1218" s="8" t="s">
        <v>3963</v>
      </c>
      <c r="D1218" s="9" t="s">
        <v>3964</v>
      </c>
      <c r="E1218" s="10" t="str">
        <f>HYPERLINK("https://twitter.com/APalomarGarcia/status/1063091899903422464","1063091899903422464")</f>
        <v>1063091899903422464</v>
      </c>
      <c r="F1218" s="12"/>
      <c r="G1218" s="12"/>
      <c r="H1218" s="12"/>
      <c r="I1218" s="13">
        <v>9</v>
      </c>
      <c r="J1218" s="13">
        <v>11</v>
      </c>
      <c r="K1218" s="14" t="str">
        <f>HYPERLINK("http://twitter.com/download/iphone","Twitter for iPhone")</f>
        <v>Twitter for iPhone</v>
      </c>
      <c r="L1218" s="13">
        <v>2395</v>
      </c>
      <c r="M1218" s="13">
        <v>3356</v>
      </c>
      <c r="N1218" s="13">
        <v>36</v>
      </c>
      <c r="O1218" s="15"/>
      <c r="P1218" s="6">
        <v>40302.959722222222</v>
      </c>
      <c r="Q1218" s="16" t="s">
        <v>3965</v>
      </c>
      <c r="R1218" s="17" t="s">
        <v>3966</v>
      </c>
      <c r="S1218" s="11" t="s">
        <v>3967</v>
      </c>
      <c r="T1218" s="12"/>
      <c r="U1218" s="10" t="str">
        <f>HYPERLINK("https://pbs.twimg.com/profile_images/1061005510353264640/ANz2NWmg.jpg","View")</f>
        <v>View</v>
      </c>
    </row>
    <row r="1219" spans="1:21" ht="40.799999999999997">
      <c r="A1219" s="6">
        <v>43419.678472222222</v>
      </c>
      <c r="B1219" s="7" t="str">
        <f>HYPERLINK("https://twitter.com/danierdecai31","@danierdecai31")</f>
        <v>@danierdecai31</v>
      </c>
      <c r="C1219" s="8" t="s">
        <v>28</v>
      </c>
      <c r="D1219" s="9" t="s">
        <v>3969</v>
      </c>
      <c r="E1219" s="10" t="str">
        <f>HYPERLINK("https://twitter.com/danierdecai31/status/1063088482472603649","1063088482472603649")</f>
        <v>1063088482472603649</v>
      </c>
      <c r="F1219" s="12"/>
      <c r="G1219" s="12"/>
      <c r="H1219" s="12"/>
      <c r="I1219" s="13">
        <v>2</v>
      </c>
      <c r="J1219" s="13">
        <v>17</v>
      </c>
      <c r="K1219" s="14" t="str">
        <f>HYPERLINK("http://twitter.com","Twitter Web Client")</f>
        <v>Twitter Web Client</v>
      </c>
      <c r="L1219" s="13">
        <v>9012</v>
      </c>
      <c r="M1219" s="13">
        <v>3485</v>
      </c>
      <c r="N1219" s="13">
        <v>14</v>
      </c>
      <c r="O1219" s="15"/>
      <c r="P1219" s="6">
        <v>43403.647685185184</v>
      </c>
      <c r="Q1219" s="16" t="s">
        <v>32</v>
      </c>
      <c r="R1219" s="17" t="s">
        <v>33</v>
      </c>
      <c r="S1219" s="12"/>
      <c r="T1219" s="12"/>
      <c r="U1219" s="10" t="str">
        <f>HYPERLINK("https://pbs.twimg.com/profile_images/1057281830297182208/9mTqQWgW.jpg","View")</f>
        <v>View</v>
      </c>
    </row>
    <row r="1220" spans="1:21" ht="61.2">
      <c r="A1220" s="6">
        <v>43419.676203703704</v>
      </c>
      <c r="B1220" s="7" t="str">
        <f>HYPERLINK("https://twitter.com/rosselloarrom","@rosselloarrom")</f>
        <v>@rosselloarrom</v>
      </c>
      <c r="C1220" s="8" t="s">
        <v>3971</v>
      </c>
      <c r="D1220" s="9" t="s">
        <v>3972</v>
      </c>
      <c r="E1220" s="10" t="str">
        <f>HYPERLINK("https://twitter.com/rosselloarrom/status/1063087663224365057","1063087663224365057")</f>
        <v>1063087663224365057</v>
      </c>
      <c r="F1220" s="11" t="s">
        <v>3712</v>
      </c>
      <c r="G1220" s="11" t="s">
        <v>3713</v>
      </c>
      <c r="H1220" s="12"/>
      <c r="I1220" s="13">
        <v>6</v>
      </c>
      <c r="J1220" s="13">
        <v>11</v>
      </c>
      <c r="K1220" s="14" t="str">
        <f t="shared" ref="K1220:K1221" si="338">HYPERLINK("http://twitter.com/download/iphone","Twitter for iPhone")</f>
        <v>Twitter for iPhone</v>
      </c>
      <c r="L1220" s="13">
        <v>3352</v>
      </c>
      <c r="M1220" s="13">
        <v>812</v>
      </c>
      <c r="N1220" s="13">
        <v>98</v>
      </c>
      <c r="O1220" s="15"/>
      <c r="P1220" s="6">
        <v>39545.950659722221</v>
      </c>
      <c r="Q1220" s="16" t="s">
        <v>66</v>
      </c>
      <c r="R1220" s="17" t="s">
        <v>3973</v>
      </c>
      <c r="S1220" s="11" t="s">
        <v>3974</v>
      </c>
      <c r="T1220" s="12"/>
      <c r="U1220" s="10" t="str">
        <f>HYPERLINK("https://pbs.twimg.com/profile_images/805515139583709186/g4frFq9b.jpg","View")</f>
        <v>View</v>
      </c>
    </row>
    <row r="1221" spans="1:21" ht="61.2">
      <c r="A1221" s="6">
        <v>43419.668726851851</v>
      </c>
      <c r="B1221" s="7" t="str">
        <f>HYPERLINK("https://twitter.com/pikkonen","@pikkonen")</f>
        <v>@pikkonen</v>
      </c>
      <c r="C1221" s="8" t="s">
        <v>3976</v>
      </c>
      <c r="D1221" s="9" t="s">
        <v>3977</v>
      </c>
      <c r="E1221" s="10" t="str">
        <f>HYPERLINK("https://twitter.com/pikkonen/status/1063084952982560768","1063084952982560768")</f>
        <v>1063084952982560768</v>
      </c>
      <c r="F1221" s="11" t="s">
        <v>3606</v>
      </c>
      <c r="G1221" s="11" t="s">
        <v>3607</v>
      </c>
      <c r="H1221" s="12"/>
      <c r="I1221" s="13">
        <v>0</v>
      </c>
      <c r="J1221" s="13">
        <v>0</v>
      </c>
      <c r="K1221" s="14" t="str">
        <f t="shared" si="338"/>
        <v>Twitter for iPhone</v>
      </c>
      <c r="L1221" s="13">
        <v>133</v>
      </c>
      <c r="M1221" s="13">
        <v>360</v>
      </c>
      <c r="N1221" s="13">
        <v>6</v>
      </c>
      <c r="O1221" s="15"/>
      <c r="P1221" s="6">
        <v>39302.624178240745</v>
      </c>
      <c r="Q1221" s="16" t="s">
        <v>3980</v>
      </c>
      <c r="R1221" s="21"/>
      <c r="S1221" s="12"/>
      <c r="T1221" s="12"/>
      <c r="U1221" s="10" t="str">
        <f>HYPERLINK("https://pbs.twimg.com/profile_images/2251097419/image.jpg","View")</f>
        <v>View</v>
      </c>
    </row>
    <row r="1222" spans="1:21" ht="40.799999999999997">
      <c r="A1222" s="6">
        <v>43419.66805555555</v>
      </c>
      <c r="B1222" s="7" t="str">
        <f>HYPERLINK("https://twitter.com/bitMomentum","@bitMomentum")</f>
        <v>@bitMomentum</v>
      </c>
      <c r="C1222" s="8" t="s">
        <v>368</v>
      </c>
      <c r="D1222" s="9" t="s">
        <v>3981</v>
      </c>
      <c r="E1222" s="10" t="str">
        <f>HYPERLINK("https://twitter.com/bitMomentum/status/1063084707896852480","1063084707896852480")</f>
        <v>1063084707896852480</v>
      </c>
      <c r="F1222" s="12"/>
      <c r="G1222" s="12"/>
      <c r="H1222" s="12"/>
      <c r="I1222" s="13">
        <v>0</v>
      </c>
      <c r="J1222" s="13">
        <v>0</v>
      </c>
      <c r="K1222" s="14" t="str">
        <f>HYPERLINK("http://www.bitmomentum.com","bitMomentum Bot")</f>
        <v>bitMomentum Bot</v>
      </c>
      <c r="L1222" s="13">
        <v>10132</v>
      </c>
      <c r="M1222" s="13">
        <v>1060</v>
      </c>
      <c r="N1222" s="13">
        <v>267</v>
      </c>
      <c r="O1222" s="15"/>
      <c r="P1222" s="6">
        <v>41608.667511574073</v>
      </c>
      <c r="Q1222" s="12"/>
      <c r="R1222" s="17" t="s">
        <v>371</v>
      </c>
      <c r="S1222" s="11" t="s">
        <v>372</v>
      </c>
      <c r="T1222" s="12"/>
      <c r="U1222" s="10" t="str">
        <f>HYPERLINK("https://pbs.twimg.com/profile_images/378800000862185241/20ij2H3u.png","View")</f>
        <v>View</v>
      </c>
    </row>
    <row r="1223" spans="1:21" ht="30.6">
      <c r="A1223" s="6">
        <v>43419.667442129634</v>
      </c>
      <c r="B1223" s="7" t="str">
        <f>HYPERLINK("https://twitter.com/Vox_Murcia","@Vox_Murcia")</f>
        <v>@Vox_Murcia</v>
      </c>
      <c r="C1223" s="8" t="s">
        <v>3374</v>
      </c>
      <c r="D1223" s="9" t="s">
        <v>3982</v>
      </c>
      <c r="E1223" s="10" t="str">
        <f>HYPERLINK("https://twitter.com/Vox_Murcia/status/1063084487221956609","1063084487221956609")</f>
        <v>1063084487221956609</v>
      </c>
      <c r="F1223" s="11" t="s">
        <v>3592</v>
      </c>
      <c r="G1223" s="12"/>
      <c r="H1223" s="12"/>
      <c r="I1223" s="13">
        <v>18</v>
      </c>
      <c r="J1223" s="13">
        <v>22</v>
      </c>
      <c r="K1223" s="14" t="str">
        <f>HYPERLINK("http://twitter.com","Twitter Web Client")</f>
        <v>Twitter Web Client</v>
      </c>
      <c r="L1223" s="13">
        <v>3081</v>
      </c>
      <c r="M1223" s="13">
        <v>3585</v>
      </c>
      <c r="N1223" s="13">
        <v>45</v>
      </c>
      <c r="O1223" s="15"/>
      <c r="P1223" s="6">
        <v>41706.990370370375</v>
      </c>
      <c r="Q1223" s="16" t="s">
        <v>3376</v>
      </c>
      <c r="R1223" s="17" t="s">
        <v>3377</v>
      </c>
      <c r="S1223" s="11" t="s">
        <v>187</v>
      </c>
      <c r="T1223" s="12"/>
      <c r="U1223" s="10" t="str">
        <f>HYPERLINK("https://pbs.twimg.com/profile_images/1007020887571419136/2qcNDfwR.jpg","View")</f>
        <v>View</v>
      </c>
    </row>
    <row r="1224" spans="1:21" ht="20.399999999999999">
      <c r="A1224" s="6">
        <v>43419.660462962958</v>
      </c>
      <c r="B1224" s="7" t="str">
        <f>HYPERLINK("https://twitter.com/elhuron2","@elhuron2")</f>
        <v>@elhuron2</v>
      </c>
      <c r="C1224" s="8" t="s">
        <v>246</v>
      </c>
      <c r="D1224" s="9" t="s">
        <v>4864</v>
      </c>
      <c r="E1224" s="10" t="str">
        <f>HYPERLINK("https://twitter.com/elhuron2/status/1063081955900735489","1063081955900735489")</f>
        <v>1063081955900735489</v>
      </c>
      <c r="F1224" s="11" t="s">
        <v>4868</v>
      </c>
      <c r="G1224" s="12"/>
      <c r="H1224" s="12"/>
      <c r="I1224" s="13">
        <v>0</v>
      </c>
      <c r="J1224" s="13">
        <v>0</v>
      </c>
      <c r="K1224" s="14" t="str">
        <f>HYPERLINK("https://www.google.com/","Google")</f>
        <v>Google</v>
      </c>
      <c r="L1224" s="13">
        <v>408</v>
      </c>
      <c r="M1224" s="13">
        <v>496</v>
      </c>
      <c r="N1224" s="13">
        <v>6</v>
      </c>
      <c r="O1224" s="15"/>
      <c r="P1224" s="6">
        <v>41869.952997685185</v>
      </c>
      <c r="Q1224" s="16" t="s">
        <v>249</v>
      </c>
      <c r="R1224" s="17" t="s">
        <v>250</v>
      </c>
      <c r="S1224" s="11" t="s">
        <v>251</v>
      </c>
      <c r="T1224" s="12"/>
      <c r="U1224" s="10" t="str">
        <f>HYPERLINK("https://pbs.twimg.com/profile_images/803176150629515264/heYiZScX.jpg","View")</f>
        <v>View</v>
      </c>
    </row>
    <row r="1225" spans="1:21" ht="61.2">
      <c r="A1225" s="6">
        <v>43419.659120370372</v>
      </c>
      <c r="B1225" s="7" t="str">
        <f>HYPERLINK("https://twitter.com/NeroPaddilla","@NeroPaddilla")</f>
        <v>@NeroPaddilla</v>
      </c>
      <c r="C1225" s="8" t="s">
        <v>1546</v>
      </c>
      <c r="D1225" s="9" t="s">
        <v>3983</v>
      </c>
      <c r="E1225" s="10" t="str">
        <f>HYPERLINK("https://twitter.com/NeroPaddilla/status/1063081469667696641","1063081469667696641")</f>
        <v>1063081469667696641</v>
      </c>
      <c r="F1225" s="12"/>
      <c r="G1225" s="12"/>
      <c r="H1225" s="12"/>
      <c r="I1225" s="13">
        <v>1</v>
      </c>
      <c r="J1225" s="13">
        <v>2</v>
      </c>
      <c r="K1225" s="14" t="str">
        <f>HYPERLINK("http://twitter.com","Twitter Web Client")</f>
        <v>Twitter Web Client</v>
      </c>
      <c r="L1225" s="13">
        <v>530</v>
      </c>
      <c r="M1225" s="13">
        <v>1145</v>
      </c>
      <c r="N1225" s="13">
        <v>0</v>
      </c>
      <c r="O1225" s="15"/>
      <c r="P1225" s="6">
        <v>43177.728159722217</v>
      </c>
      <c r="Q1225" s="12"/>
      <c r="R1225" s="21"/>
      <c r="S1225" s="12"/>
      <c r="T1225" s="12"/>
      <c r="U1225" s="10" t="str">
        <f>HYPERLINK("https://pbs.twimg.com/profile_images/975414123369500672/1Q9skH_w.jpg","View")</f>
        <v>View</v>
      </c>
    </row>
    <row r="1226" spans="1:21" ht="71.400000000000006">
      <c r="A1226" s="6">
        <v>43419.658900462964</v>
      </c>
      <c r="B1226" s="7" t="str">
        <f>HYPERLINK("https://twitter.com/LadyGuridi","@LadyGuridi")</f>
        <v>@LadyGuridi</v>
      </c>
      <c r="C1226" s="8" t="s">
        <v>3984</v>
      </c>
      <c r="D1226" s="9" t="s">
        <v>3985</v>
      </c>
      <c r="E1226" s="10" t="str">
        <f>HYPERLINK("https://twitter.com/LadyGuridi/status/1063081390386819072","1063081390386819072")</f>
        <v>1063081390386819072</v>
      </c>
      <c r="F1226" s="11" t="s">
        <v>3712</v>
      </c>
      <c r="G1226" s="11" t="s">
        <v>3713</v>
      </c>
      <c r="H1226" s="12"/>
      <c r="I1226" s="13">
        <v>0</v>
      </c>
      <c r="J1226" s="13">
        <v>0</v>
      </c>
      <c r="K1226" s="14" t="str">
        <f>HYPERLINK("http://twitter.com/#!/download/ipad","Twitter for iPad")</f>
        <v>Twitter for iPad</v>
      </c>
      <c r="L1226" s="13">
        <v>96</v>
      </c>
      <c r="M1226" s="13">
        <v>379</v>
      </c>
      <c r="N1226" s="13">
        <v>0</v>
      </c>
      <c r="O1226" s="15"/>
      <c r="P1226" s="6">
        <v>42683.983287037037</v>
      </c>
      <c r="Q1226" s="16" t="s">
        <v>3986</v>
      </c>
      <c r="R1226" s="17" t="s">
        <v>3987</v>
      </c>
      <c r="S1226" s="12"/>
      <c r="T1226" s="12"/>
      <c r="U1226" s="10" t="str">
        <f>HYPERLINK("https://pbs.twimg.com/profile_images/796483143880482816/AEV3uOZ1.jpg","View")</f>
        <v>View</v>
      </c>
    </row>
    <row r="1227" spans="1:21" ht="51">
      <c r="A1227" s="6">
        <v>43419.657037037032</v>
      </c>
      <c r="B1227" s="7" t="str">
        <f>HYPERLINK("https://twitter.com/NeroPaddilla","@NeroPaddilla")</f>
        <v>@NeroPaddilla</v>
      </c>
      <c r="C1227" s="8" t="s">
        <v>1546</v>
      </c>
      <c r="D1227" s="9" t="s">
        <v>3988</v>
      </c>
      <c r="E1227" s="10" t="str">
        <f>HYPERLINK("https://twitter.com/NeroPaddilla/status/1063080718178443264","1063080718178443264")</f>
        <v>1063080718178443264</v>
      </c>
      <c r="F1227" s="12"/>
      <c r="G1227" s="12"/>
      <c r="H1227" s="12"/>
      <c r="I1227" s="13">
        <v>0</v>
      </c>
      <c r="J1227" s="13">
        <v>0</v>
      </c>
      <c r="K1227" s="14" t="str">
        <f>HYPERLINK("http://twitter.com","Twitter Web Client")</f>
        <v>Twitter Web Client</v>
      </c>
      <c r="L1227" s="13">
        <v>530</v>
      </c>
      <c r="M1227" s="13">
        <v>1145</v>
      </c>
      <c r="N1227" s="13">
        <v>0</v>
      </c>
      <c r="O1227" s="15"/>
      <c r="P1227" s="6">
        <v>43177.728159722217</v>
      </c>
      <c r="Q1227" s="12"/>
      <c r="R1227" s="21"/>
      <c r="S1227" s="12"/>
      <c r="T1227" s="12"/>
      <c r="U1227" s="10" t="str">
        <f>HYPERLINK("https://pbs.twimg.com/profile_images/975414123369500672/1Q9skH_w.jpg","View")</f>
        <v>View</v>
      </c>
    </row>
    <row r="1228" spans="1:21" ht="20.399999999999999">
      <c r="A1228" s="6">
        <v>43419.655752314815</v>
      </c>
      <c r="B1228" s="7" t="str">
        <f>HYPERLINK("https://twitter.com/elhuron2","@elhuron2")</f>
        <v>@elhuron2</v>
      </c>
      <c r="C1228" s="8" t="s">
        <v>246</v>
      </c>
      <c r="D1228" s="9" t="s">
        <v>4885</v>
      </c>
      <c r="E1228" s="10" t="str">
        <f>HYPERLINK("https://twitter.com/elhuron2/status/1063080251218190336","1063080251218190336")</f>
        <v>1063080251218190336</v>
      </c>
      <c r="F1228" s="11" t="s">
        <v>4868</v>
      </c>
      <c r="G1228" s="12"/>
      <c r="H1228" s="12"/>
      <c r="I1228" s="13">
        <v>0</v>
      </c>
      <c r="J1228" s="13">
        <v>0</v>
      </c>
      <c r="K1228" s="14" t="str">
        <f>HYPERLINK("https://www.google.com/","Google")</f>
        <v>Google</v>
      </c>
      <c r="L1228" s="13">
        <v>408</v>
      </c>
      <c r="M1228" s="13">
        <v>496</v>
      </c>
      <c r="N1228" s="13">
        <v>6</v>
      </c>
      <c r="O1228" s="15"/>
      <c r="P1228" s="6">
        <v>41869.952997685185</v>
      </c>
      <c r="Q1228" s="16" t="s">
        <v>249</v>
      </c>
      <c r="R1228" s="17" t="s">
        <v>250</v>
      </c>
      <c r="S1228" s="11" t="s">
        <v>251</v>
      </c>
      <c r="T1228" s="12"/>
      <c r="U1228" s="10" t="str">
        <f>HYPERLINK("https://pbs.twimg.com/profile_images/803176150629515264/heYiZScX.jpg","View")</f>
        <v>View</v>
      </c>
    </row>
    <row r="1229" spans="1:21" ht="71.400000000000006">
      <c r="A1229" s="6">
        <v>43419.654930555553</v>
      </c>
      <c r="B1229" s="7" t="str">
        <f>HYPERLINK("https://twitter.com/rososcar","@rososcar")</f>
        <v>@rososcar</v>
      </c>
      <c r="C1229" s="8" t="s">
        <v>3367</v>
      </c>
      <c r="D1229" s="9" t="s">
        <v>3991</v>
      </c>
      <c r="E1229" s="10" t="str">
        <f>HYPERLINK("https://twitter.com/rososcar/status/1063079952386572288","1063079952386572288")</f>
        <v>1063079952386572288</v>
      </c>
      <c r="F1229" s="16" t="s">
        <v>3994</v>
      </c>
      <c r="G1229" s="11" t="s">
        <v>3995</v>
      </c>
      <c r="H1229" s="12"/>
      <c r="I1229" s="13">
        <v>0</v>
      </c>
      <c r="J1229" s="13">
        <v>1</v>
      </c>
      <c r="K1229" s="14" t="str">
        <f>HYPERLINK("http://twitter.com/download/iphone","Twitter for iPhone")</f>
        <v>Twitter for iPhone</v>
      </c>
      <c r="L1229" s="13">
        <v>502</v>
      </c>
      <c r="M1229" s="13">
        <v>2101</v>
      </c>
      <c r="N1229" s="13">
        <v>5</v>
      </c>
      <c r="O1229" s="15"/>
      <c r="P1229" s="6">
        <v>40743.02548611111</v>
      </c>
      <c r="Q1229" s="16" t="s">
        <v>3369</v>
      </c>
      <c r="R1229" s="17" t="s">
        <v>3370</v>
      </c>
      <c r="S1229" s="12"/>
      <c r="T1229" s="12"/>
      <c r="U1229" s="10" t="str">
        <f>HYPERLINK("https://pbs.twimg.com/profile_images/1059731425145032709/pCDEeu7T.jpg","View")</f>
        <v>View</v>
      </c>
    </row>
    <row r="1230" spans="1:21" ht="51">
      <c r="A1230" s="6">
        <v>43419.654305555552</v>
      </c>
      <c r="B1230" s="7" t="str">
        <f>HYPERLINK("https://twitter.com/anti_indepe","@anti_indepe")</f>
        <v>@anti_indepe</v>
      </c>
      <c r="C1230" s="8" t="s">
        <v>3998</v>
      </c>
      <c r="D1230" s="9" t="s">
        <v>3999</v>
      </c>
      <c r="E1230" s="10" t="str">
        <f>HYPERLINK("https://twitter.com/anti_indepe/status/1063079725181124608","1063079725181124608")</f>
        <v>1063079725181124608</v>
      </c>
      <c r="F1230" s="12"/>
      <c r="G1230" s="11" t="s">
        <v>4000</v>
      </c>
      <c r="H1230" s="12"/>
      <c r="I1230" s="13">
        <v>5</v>
      </c>
      <c r="J1230" s="13">
        <v>13</v>
      </c>
      <c r="K1230" s="14" t="str">
        <f>HYPERLINK("http://twitter.com/download/android","Twitter for Android")</f>
        <v>Twitter for Android</v>
      </c>
      <c r="L1230" s="13">
        <v>95</v>
      </c>
      <c r="M1230" s="13">
        <v>153</v>
      </c>
      <c r="N1230" s="13">
        <v>2</v>
      </c>
      <c r="O1230" s="15"/>
      <c r="P1230" s="6">
        <v>42913.596006944441</v>
      </c>
      <c r="Q1230" s="12"/>
      <c r="R1230" s="17" t="s">
        <v>4001</v>
      </c>
      <c r="S1230" s="12"/>
      <c r="T1230" s="12"/>
      <c r="U1230" s="10" t="str">
        <f>HYPERLINK("https://pbs.twimg.com/profile_images/1059866360698859520/qzStTPlH.jpg","View")</f>
        <v>View</v>
      </c>
    </row>
    <row r="1231" spans="1:21" ht="30.6">
      <c r="A1231" s="6">
        <v>43419.651053240741</v>
      </c>
      <c r="B1231" s="7" t="str">
        <f>HYPERLINK("https://twitter.com/CasoAislado_Es","@CasoAislado_Es")</f>
        <v>@CasoAislado_Es</v>
      </c>
      <c r="C1231" s="8" t="s">
        <v>530</v>
      </c>
      <c r="D1231" s="9" t="s">
        <v>4002</v>
      </c>
      <c r="E1231" s="10" t="str">
        <f>HYPERLINK("https://twitter.com/CasoAislado_Es/status/1063078549643558912","1063078549643558912")</f>
        <v>1063078549643558912</v>
      </c>
      <c r="F1231" s="11" t="s">
        <v>4003</v>
      </c>
      <c r="G1231" s="12"/>
      <c r="H1231" s="12"/>
      <c r="I1231" s="13">
        <v>85</v>
      </c>
      <c r="J1231" s="13">
        <v>105</v>
      </c>
      <c r="K1231" s="14" t="str">
        <f t="shared" ref="K1231:K1232" si="339">HYPERLINK("http://twitter.com","Twitter Web Client")</f>
        <v>Twitter Web Client</v>
      </c>
      <c r="L1231" s="13">
        <v>20849</v>
      </c>
      <c r="M1231" s="13">
        <v>6396</v>
      </c>
      <c r="N1231" s="13">
        <v>145</v>
      </c>
      <c r="O1231" s="15"/>
      <c r="P1231" s="6">
        <v>40257.560439814813</v>
      </c>
      <c r="Q1231" s="16" t="s">
        <v>533</v>
      </c>
      <c r="R1231" s="17" t="s">
        <v>534</v>
      </c>
      <c r="S1231" s="11" t="s">
        <v>535</v>
      </c>
      <c r="T1231" s="12"/>
      <c r="U1231" s="10" t="str">
        <f>HYPERLINK("https://pbs.twimg.com/profile_images/818503412702707713/QK1J8CEn.jpg","View")</f>
        <v>View</v>
      </c>
    </row>
    <row r="1232" spans="1:21" ht="71.400000000000006">
      <c r="A1232" s="6">
        <v>43419.649710648147</v>
      </c>
      <c r="B1232" s="7" t="str">
        <f>HYPERLINK("https://twitter.com/sergio_castro_g","@sergio_castro_g")</f>
        <v>@sergio_castro_g</v>
      </c>
      <c r="C1232" s="8" t="s">
        <v>2238</v>
      </c>
      <c r="D1232" s="9" t="s">
        <v>4004</v>
      </c>
      <c r="E1232" s="10" t="str">
        <f>HYPERLINK("https://twitter.com/sergio_castro_g/status/1063078059929190401","1063078059929190401")</f>
        <v>1063078059929190401</v>
      </c>
      <c r="F1232" s="11" t="s">
        <v>3141</v>
      </c>
      <c r="G1232" s="11" t="s">
        <v>3142</v>
      </c>
      <c r="H1232" s="12"/>
      <c r="I1232" s="13">
        <v>37</v>
      </c>
      <c r="J1232" s="13">
        <v>67</v>
      </c>
      <c r="K1232" s="14" t="str">
        <f t="shared" si="339"/>
        <v>Twitter Web Client</v>
      </c>
      <c r="L1232" s="13">
        <v>10773</v>
      </c>
      <c r="M1232" s="13">
        <v>1501</v>
      </c>
      <c r="N1232" s="13">
        <v>44</v>
      </c>
      <c r="O1232" s="15"/>
      <c r="P1232" s="6">
        <v>41953.932233796295</v>
      </c>
      <c r="Q1232" s="16" t="s">
        <v>2240</v>
      </c>
      <c r="R1232" s="17" t="s">
        <v>2241</v>
      </c>
      <c r="S1232" s="11" t="s">
        <v>2242</v>
      </c>
      <c r="T1232" s="12"/>
      <c r="U1232" s="10" t="str">
        <f>HYPERLINK("https://pbs.twimg.com/profile_images/946151168421629954/-vuHyIDF.jpg","View")</f>
        <v>View</v>
      </c>
    </row>
    <row r="1233" spans="1:21" ht="20.399999999999999">
      <c r="A1233" s="6">
        <v>43419.64806712963</v>
      </c>
      <c r="B1233" s="7" t="str">
        <f>HYPERLINK("https://twitter.com/GripauG","@GripauG")</f>
        <v>@GripauG</v>
      </c>
      <c r="C1233" s="8" t="s">
        <v>4906</v>
      </c>
      <c r="D1233" s="9" t="s">
        <v>4907</v>
      </c>
      <c r="E1233" s="10" t="str">
        <f>HYPERLINK("https://twitter.com/GripauG/status/1063077463641735168","1063077463641735168")</f>
        <v>1063077463641735168</v>
      </c>
      <c r="F1233" s="12"/>
      <c r="G1233" s="12"/>
      <c r="H1233" s="12"/>
      <c r="I1233" s="13">
        <v>0</v>
      </c>
      <c r="J1233" s="13">
        <v>0</v>
      </c>
      <c r="K1233" s="14" t="str">
        <f>HYPERLINK("http://twitter.com/#!/download/ipad","Twitter for iPad")</f>
        <v>Twitter for iPad</v>
      </c>
      <c r="L1233" s="13">
        <v>31</v>
      </c>
      <c r="M1233" s="13">
        <v>116</v>
      </c>
      <c r="N1233" s="13">
        <v>1</v>
      </c>
      <c r="O1233" s="15"/>
      <c r="P1233" s="6">
        <v>43359.888645833329</v>
      </c>
      <c r="Q1233" s="12"/>
      <c r="R1233" s="17" t="s">
        <v>4908</v>
      </c>
      <c r="S1233" s="12"/>
      <c r="T1233" s="12"/>
      <c r="U1233" s="10" t="str">
        <f>HYPERLINK("https://pbs.twimg.com/profile_images/1055865454672179200/4zrcC5V_.jpg","View")</f>
        <v>View</v>
      </c>
    </row>
    <row r="1234" spans="1:21" ht="81.599999999999994">
      <c r="A1234" s="6">
        <v>43419.643888888888</v>
      </c>
      <c r="B1234" s="7" t="str">
        <f>HYPERLINK("https://twitter.com/sanchezdelreal","@sanchezdelreal")</f>
        <v>@sanchezdelreal</v>
      </c>
      <c r="C1234" s="8" t="s">
        <v>4009</v>
      </c>
      <c r="D1234" s="9" t="s">
        <v>4010</v>
      </c>
      <c r="E1234" s="10" t="str">
        <f>HYPERLINK("https://twitter.com/sanchezdelreal/status/1063075949619613696","1063075949619613696")</f>
        <v>1063075949619613696</v>
      </c>
      <c r="F1234" s="11" t="s">
        <v>3141</v>
      </c>
      <c r="G1234" s="11" t="s">
        <v>3142</v>
      </c>
      <c r="H1234" s="12"/>
      <c r="I1234" s="13">
        <v>530</v>
      </c>
      <c r="J1234" s="13">
        <v>773</v>
      </c>
      <c r="K1234" s="14" t="str">
        <f>HYPERLINK("http://twitter.com/download/iphone","Twitter for iPhone")</f>
        <v>Twitter for iPhone</v>
      </c>
      <c r="L1234" s="13">
        <v>10984</v>
      </c>
      <c r="M1234" s="13">
        <v>4318</v>
      </c>
      <c r="N1234" s="13">
        <v>210</v>
      </c>
      <c r="O1234" s="15"/>
      <c r="P1234" s="6">
        <v>39998.01866898148</v>
      </c>
      <c r="Q1234" s="16" t="s">
        <v>66</v>
      </c>
      <c r="R1234" s="17" t="s">
        <v>4012</v>
      </c>
      <c r="S1234" s="11" t="s">
        <v>4014</v>
      </c>
      <c r="T1234" s="12"/>
      <c r="U1234" s="10" t="str">
        <f>HYPERLINK("https://pbs.twimg.com/profile_images/891331643797114881/02K-0sjv.jpg","View")</f>
        <v>View</v>
      </c>
    </row>
    <row r="1235" spans="1:21" ht="81.599999999999994">
      <c r="A1235" s="6">
        <v>43419.643553240741</v>
      </c>
      <c r="B1235" s="7" t="str">
        <f>HYPERLINK("https://twitter.com/dbf1982","@dbf1982")</f>
        <v>@dbf1982</v>
      </c>
      <c r="C1235" s="8" t="s">
        <v>4015</v>
      </c>
      <c r="D1235" s="9" t="s">
        <v>4016</v>
      </c>
      <c r="E1235" s="10" t="str">
        <f>HYPERLINK("https://twitter.com/dbf1982/status/1063075829389971456","1063075829389971456")</f>
        <v>1063075829389971456</v>
      </c>
      <c r="F1235" s="11" t="s">
        <v>3509</v>
      </c>
      <c r="G1235" s="11" t="s">
        <v>2397</v>
      </c>
      <c r="H1235" s="12"/>
      <c r="I1235" s="13">
        <v>0</v>
      </c>
      <c r="J1235" s="13">
        <v>2</v>
      </c>
      <c r="K1235" s="14" t="str">
        <f t="shared" ref="K1235:K1236" si="340">HYPERLINK("http://twitter.com/download/android","Twitter for Android")</f>
        <v>Twitter for Android</v>
      </c>
      <c r="L1235" s="13">
        <v>857</v>
      </c>
      <c r="M1235" s="13">
        <v>1539</v>
      </c>
      <c r="N1235" s="13">
        <v>8</v>
      </c>
      <c r="O1235" s="15"/>
      <c r="P1235" s="6">
        <v>40691.575127314813</v>
      </c>
      <c r="Q1235" s="12"/>
      <c r="R1235" s="17" t="s">
        <v>4017</v>
      </c>
      <c r="S1235" s="12"/>
      <c r="T1235" s="12"/>
      <c r="U1235" s="10" t="str">
        <f>HYPERLINK("https://pbs.twimg.com/profile_images/1043901420100100096/Z8O7B8eD.jpg","View")</f>
        <v>View</v>
      </c>
    </row>
    <row r="1236" spans="1:21" ht="51">
      <c r="A1236" s="6">
        <v>43419.642060185186</v>
      </c>
      <c r="B1236" s="7" t="str">
        <f>HYPERLINK("https://twitter.com/bersekers75","@bersekers75")</f>
        <v>@bersekers75</v>
      </c>
      <c r="C1236" s="8" t="s">
        <v>4018</v>
      </c>
      <c r="D1236" s="9" t="s">
        <v>4019</v>
      </c>
      <c r="E1236" s="10" t="str">
        <f>HYPERLINK("https://twitter.com/bersekers75/status/1063075288819658752","1063075288819658752")</f>
        <v>1063075288819658752</v>
      </c>
      <c r="F1236" s="12"/>
      <c r="G1236" s="11" t="s">
        <v>4020</v>
      </c>
      <c r="H1236" s="12"/>
      <c r="I1236" s="13">
        <v>20</v>
      </c>
      <c r="J1236" s="13">
        <v>17</v>
      </c>
      <c r="K1236" s="14" t="str">
        <f t="shared" si="340"/>
        <v>Twitter for Android</v>
      </c>
      <c r="L1236" s="13">
        <v>1358</v>
      </c>
      <c r="M1236" s="13">
        <v>584</v>
      </c>
      <c r="N1236" s="13">
        <v>4</v>
      </c>
      <c r="O1236" s="15"/>
      <c r="P1236" s="6">
        <v>41479.90347222222</v>
      </c>
      <c r="Q1236" s="16" t="s">
        <v>4021</v>
      </c>
      <c r="R1236" s="17" t="s">
        <v>4022</v>
      </c>
      <c r="S1236" s="12"/>
      <c r="T1236" s="12"/>
      <c r="U1236" s="10" t="str">
        <f>HYPERLINK("https://pbs.twimg.com/profile_images/904752949225762818/bSABc1kM.jpg","View")</f>
        <v>View</v>
      </c>
    </row>
    <row r="1237" spans="1:21" ht="61.2">
      <c r="A1237" s="6">
        <v>43419.63517361111</v>
      </c>
      <c r="B1237" s="7" t="str">
        <f>HYPERLINK("https://twitter.com/SergioPenagos14","@SergioPenagos14")</f>
        <v>@SergioPenagos14</v>
      </c>
      <c r="C1237" s="8" t="s">
        <v>4023</v>
      </c>
      <c r="D1237" s="9" t="s">
        <v>4024</v>
      </c>
      <c r="E1237" s="10" t="str">
        <f>HYPERLINK("https://twitter.com/SergioPenagos14/status/1063072792806125568","1063072792806125568")</f>
        <v>1063072792806125568</v>
      </c>
      <c r="F1237" s="11" t="s">
        <v>4025</v>
      </c>
      <c r="G1237" s="11" t="s">
        <v>3142</v>
      </c>
      <c r="H1237" s="12"/>
      <c r="I1237" s="13">
        <v>1</v>
      </c>
      <c r="J1237" s="13">
        <v>2</v>
      </c>
      <c r="K1237" s="14" t="str">
        <f>HYPERLINK("http://twitter.com/download/iphone","Twitter for iPhone")</f>
        <v>Twitter for iPhone</v>
      </c>
      <c r="L1237" s="13">
        <v>368</v>
      </c>
      <c r="M1237" s="13">
        <v>333</v>
      </c>
      <c r="N1237" s="13">
        <v>1</v>
      </c>
      <c r="O1237" s="15"/>
      <c r="P1237" s="6">
        <v>40488.515532407408</v>
      </c>
      <c r="Q1237" s="16" t="s">
        <v>4026</v>
      </c>
      <c r="R1237" s="17" t="s">
        <v>4027</v>
      </c>
      <c r="S1237" s="12"/>
      <c r="T1237" s="12"/>
      <c r="U1237" s="10" t="str">
        <f>HYPERLINK("https://pbs.twimg.com/profile_images/847116210613432322/b9O0Y9KN.jpg","View")</f>
        <v>View</v>
      </c>
    </row>
    <row r="1238" spans="1:21" ht="20.399999999999999">
      <c r="A1238" s="6">
        <v>43419.632858796293</v>
      </c>
      <c r="B1238" s="7" t="str">
        <f>HYPERLINK("https://twitter.com/Ayoze8","@Ayoze8")</f>
        <v>@Ayoze8</v>
      </c>
      <c r="C1238" s="8" t="s">
        <v>4028</v>
      </c>
      <c r="D1238" s="9" t="s">
        <v>4029</v>
      </c>
      <c r="E1238" s="10" t="str">
        <f>HYPERLINK("https://twitter.com/Ayoze8/status/1063071954045939712","1063071954045939712")</f>
        <v>1063071954045939712</v>
      </c>
      <c r="F1238" s="12"/>
      <c r="G1238" s="12"/>
      <c r="H1238" s="12"/>
      <c r="I1238" s="13">
        <v>0</v>
      </c>
      <c r="J1238" s="13">
        <v>0</v>
      </c>
      <c r="K1238" s="14" t="str">
        <f>HYPERLINK("http://twitter.com/download/android","Twitter for Android")</f>
        <v>Twitter for Android</v>
      </c>
      <c r="L1238" s="13">
        <v>889</v>
      </c>
      <c r="M1238" s="13">
        <v>2553</v>
      </c>
      <c r="N1238" s="13">
        <v>2</v>
      </c>
      <c r="O1238" s="15"/>
      <c r="P1238" s="6">
        <v>40689.812800925924</v>
      </c>
      <c r="Q1238" s="16" t="s">
        <v>4031</v>
      </c>
      <c r="R1238" s="17" t="s">
        <v>4032</v>
      </c>
      <c r="S1238" s="12"/>
      <c r="T1238" s="12"/>
      <c r="U1238" s="10" t="str">
        <f>HYPERLINK("https://pbs.twimg.com/profile_images/561865168544886784/DibFNTyJ.jpeg","View")</f>
        <v>View</v>
      </c>
    </row>
    <row r="1239" spans="1:21" ht="61.2">
      <c r="A1239" s="6">
        <v>43419.631273148145</v>
      </c>
      <c r="B1239" s="7" t="str">
        <f>HYPERLINK("https://twitter.com/Libertaria_V","@Libertaria_V")</f>
        <v>@Libertaria_V</v>
      </c>
      <c r="C1239" s="8" t="s">
        <v>4034</v>
      </c>
      <c r="D1239" s="9" t="s">
        <v>4035</v>
      </c>
      <c r="E1239" s="10" t="str">
        <f>HYPERLINK("https://twitter.com/Libertaria_V/status/1063071378927169541","1063071378927169541")</f>
        <v>1063071378927169541</v>
      </c>
      <c r="F1239" s="12"/>
      <c r="G1239" s="11" t="s">
        <v>4036</v>
      </c>
      <c r="H1239" s="12"/>
      <c r="I1239" s="13">
        <v>0</v>
      </c>
      <c r="J1239" s="13">
        <v>0</v>
      </c>
      <c r="K1239" s="14" t="str">
        <f>HYPERLINK("http://twitter.com/download/iphone","Twitter for iPhone")</f>
        <v>Twitter for iPhone</v>
      </c>
      <c r="L1239" s="13">
        <v>738</v>
      </c>
      <c r="M1239" s="13">
        <v>371</v>
      </c>
      <c r="N1239" s="13">
        <v>9</v>
      </c>
      <c r="O1239" s="15"/>
      <c r="P1239" s="6">
        <v>41887.974398148144</v>
      </c>
      <c r="Q1239" s="12"/>
      <c r="R1239" s="17" t="s">
        <v>4038</v>
      </c>
      <c r="S1239" s="11" t="s">
        <v>4039</v>
      </c>
      <c r="T1239" s="12"/>
      <c r="U1239" s="10" t="str">
        <f>HYPERLINK("https://pbs.twimg.com/profile_images/901512805978951680/xfxovVIQ.jpg","View")</f>
        <v>View</v>
      </c>
    </row>
    <row r="1240" spans="1:21" ht="40.799999999999997">
      <c r="A1240" s="6">
        <v>43419.626712962963</v>
      </c>
      <c r="B1240" s="7" t="str">
        <f>HYPERLINK("https://twitter.com/emi7182","@emi7182")</f>
        <v>@emi7182</v>
      </c>
      <c r="C1240" s="8" t="s">
        <v>4040</v>
      </c>
      <c r="D1240" s="9" t="s">
        <v>4041</v>
      </c>
      <c r="E1240" s="10" t="str">
        <f>HYPERLINK("https://twitter.com/emi7182/status/1063069727344484352","1063069727344484352")</f>
        <v>1063069727344484352</v>
      </c>
      <c r="F1240" s="11" t="s">
        <v>305</v>
      </c>
      <c r="G1240" s="12"/>
      <c r="H1240" s="12"/>
      <c r="I1240" s="13">
        <v>1</v>
      </c>
      <c r="J1240" s="13">
        <v>1</v>
      </c>
      <c r="K1240" s="14" t="str">
        <f>HYPERLINK("http://twitter.com/download/android","Twitter for Android")</f>
        <v>Twitter for Android</v>
      </c>
      <c r="L1240" s="13">
        <v>220</v>
      </c>
      <c r="M1240" s="13">
        <v>523</v>
      </c>
      <c r="N1240" s="13">
        <v>10</v>
      </c>
      <c r="O1240" s="15"/>
      <c r="P1240" s="6">
        <v>42437.84884259259</v>
      </c>
      <c r="Q1240" s="16" t="s">
        <v>1810</v>
      </c>
      <c r="R1240" s="17" t="s">
        <v>4042</v>
      </c>
      <c r="S1240" s="12"/>
      <c r="T1240" s="12"/>
      <c r="U1240" s="10" t="str">
        <f>HYPERLINK("https://pbs.twimg.com/profile_images/804598988070588416/YMbYWy_h.jpg","View")</f>
        <v>View</v>
      </c>
    </row>
    <row r="1241" spans="1:21" ht="40.799999999999997">
      <c r="A1241" s="6">
        <v>43419.626388888893</v>
      </c>
      <c r="B1241" s="7" t="str">
        <f>HYPERLINK("https://twitter.com/bitMomentum","@bitMomentum")</f>
        <v>@bitMomentum</v>
      </c>
      <c r="C1241" s="8" t="s">
        <v>368</v>
      </c>
      <c r="D1241" s="9" t="s">
        <v>4043</v>
      </c>
      <c r="E1241" s="10" t="str">
        <f>HYPERLINK("https://twitter.com/bitMomentum/status/1063069608482127872","1063069608482127872")</f>
        <v>1063069608482127872</v>
      </c>
      <c r="F1241" s="12"/>
      <c r="G1241" s="12"/>
      <c r="H1241" s="12"/>
      <c r="I1241" s="13">
        <v>0</v>
      </c>
      <c r="J1241" s="13">
        <v>0</v>
      </c>
      <c r="K1241" s="14" t="str">
        <f>HYPERLINK("http://www.bitmomentum.com","bitMomentum Bot")</f>
        <v>bitMomentum Bot</v>
      </c>
      <c r="L1241" s="13">
        <v>10132</v>
      </c>
      <c r="M1241" s="13">
        <v>1060</v>
      </c>
      <c r="N1241" s="13">
        <v>267</v>
      </c>
      <c r="O1241" s="15"/>
      <c r="P1241" s="6">
        <v>41608.667511574073</v>
      </c>
      <c r="Q1241" s="12"/>
      <c r="R1241" s="17" t="s">
        <v>371</v>
      </c>
      <c r="S1241" s="11" t="s">
        <v>372</v>
      </c>
      <c r="T1241" s="12"/>
      <c r="U1241" s="10" t="str">
        <f>HYPERLINK("https://pbs.twimg.com/profile_images/378800000862185241/20ij2H3u.png","View")</f>
        <v>View</v>
      </c>
    </row>
    <row r="1242" spans="1:21" ht="40.799999999999997">
      <c r="A1242" s="6">
        <v>43419.616851851853</v>
      </c>
      <c r="B1242" s="7" t="str">
        <f>HYPERLINK("https://twitter.com/Santi_ABASCAL","@Santi_ABASCAL")</f>
        <v>@Santi_ABASCAL</v>
      </c>
      <c r="C1242" s="8" t="s">
        <v>182</v>
      </c>
      <c r="D1242" s="9" t="s">
        <v>4929</v>
      </c>
      <c r="E1242" s="10" t="str">
        <f>HYPERLINK("https://twitter.com/Santi_ABASCAL/status/1063066152648228866","1063066152648228866")</f>
        <v>1063066152648228866</v>
      </c>
      <c r="F1242" s="12"/>
      <c r="G1242" s="11" t="s">
        <v>2397</v>
      </c>
      <c r="H1242" s="12"/>
      <c r="I1242" s="13">
        <v>5180</v>
      </c>
      <c r="J1242" s="13">
        <v>6077</v>
      </c>
      <c r="K1242" s="14" t="str">
        <f t="shared" ref="K1242:K1245" si="341">HYPERLINK("http://twitter.com/download/android","Twitter for Android")</f>
        <v>Twitter for Android</v>
      </c>
      <c r="L1242" s="13">
        <v>117602</v>
      </c>
      <c r="M1242" s="13">
        <v>3896</v>
      </c>
      <c r="N1242" s="13">
        <v>915</v>
      </c>
      <c r="O1242" s="23" t="s">
        <v>186</v>
      </c>
      <c r="P1242" s="6">
        <v>40606.716446759259</v>
      </c>
      <c r="Q1242" s="16" t="s">
        <v>188</v>
      </c>
      <c r="R1242" s="17" t="s">
        <v>189</v>
      </c>
      <c r="S1242" s="11" t="s">
        <v>190</v>
      </c>
      <c r="T1242" s="12"/>
      <c r="U1242" s="10" t="str">
        <f>HYPERLINK("https://pbs.twimg.com/profile_images/1010488787686879232/2CnqYKlD.jpg","View")</f>
        <v>View</v>
      </c>
    </row>
    <row r="1243" spans="1:21" ht="102">
      <c r="A1243" s="6">
        <v>43419.612222222218</v>
      </c>
      <c r="B1243" s="7" t="str">
        <f>HYPERLINK("https://twitter.com/FcoCP96","@FcoCP96")</f>
        <v>@FcoCP96</v>
      </c>
      <c r="C1243" s="8" t="s">
        <v>4044</v>
      </c>
      <c r="D1243" s="9" t="s">
        <v>4045</v>
      </c>
      <c r="E1243" s="10" t="str">
        <f>HYPERLINK("https://twitter.com/FcoCP96/status/1063064474347823105","1063064474347823105")</f>
        <v>1063064474347823105</v>
      </c>
      <c r="F1243" s="11" t="s">
        <v>4046</v>
      </c>
      <c r="G1243" s="11" t="s">
        <v>4047</v>
      </c>
      <c r="H1243" s="12"/>
      <c r="I1243" s="13">
        <v>0</v>
      </c>
      <c r="J1243" s="13">
        <v>2</v>
      </c>
      <c r="K1243" s="14" t="str">
        <f t="shared" si="341"/>
        <v>Twitter for Android</v>
      </c>
      <c r="L1243" s="13">
        <v>1330</v>
      </c>
      <c r="M1243" s="13">
        <v>1219</v>
      </c>
      <c r="N1243" s="13">
        <v>18</v>
      </c>
      <c r="O1243" s="15"/>
      <c r="P1243" s="6">
        <v>41118.667488425926</v>
      </c>
      <c r="Q1243" s="16" t="s">
        <v>66</v>
      </c>
      <c r="R1243" s="17" t="s">
        <v>4048</v>
      </c>
      <c r="S1243" s="11" t="s">
        <v>4049</v>
      </c>
      <c r="T1243" s="12"/>
      <c r="U1243" s="10" t="str">
        <f>HYPERLINK("https://pbs.twimg.com/profile_images/1028983085998792704/b7-zq1X9.jpg","View")</f>
        <v>View</v>
      </c>
    </row>
    <row r="1244" spans="1:21" ht="51">
      <c r="A1244" s="6">
        <v>43419.608761574069</v>
      </c>
      <c r="B1244" s="7" t="str">
        <f>HYPERLINK("https://twitter.com/robredotemino","@robredotemino")</f>
        <v>@robredotemino</v>
      </c>
      <c r="C1244" s="8" t="s">
        <v>4934</v>
      </c>
      <c r="D1244" s="9" t="s">
        <v>4935</v>
      </c>
      <c r="E1244" s="10" t="str">
        <f>HYPERLINK("https://twitter.com/robredotemino/status/1063063219919618050","1063063219919618050")</f>
        <v>1063063219919618050</v>
      </c>
      <c r="F1244" s="12"/>
      <c r="G1244" s="12"/>
      <c r="H1244" s="12"/>
      <c r="I1244" s="13">
        <v>1</v>
      </c>
      <c r="J1244" s="13">
        <v>1</v>
      </c>
      <c r="K1244" s="14" t="str">
        <f t="shared" si="341"/>
        <v>Twitter for Android</v>
      </c>
      <c r="L1244" s="13">
        <v>1665</v>
      </c>
      <c r="M1244" s="13">
        <v>2763</v>
      </c>
      <c r="N1244" s="13">
        <v>2</v>
      </c>
      <c r="O1244" s="15"/>
      <c r="P1244" s="6">
        <v>41509.064571759256</v>
      </c>
      <c r="Q1244" s="16" t="s">
        <v>4936</v>
      </c>
      <c r="R1244" s="17" t="s">
        <v>4937</v>
      </c>
      <c r="S1244" s="11" t="s">
        <v>4938</v>
      </c>
      <c r="T1244" s="12"/>
      <c r="U1244" s="10" t="str">
        <f>HYPERLINK("https://pbs.twimg.com/profile_images/1058417356379164672/Pu8L_zd5.jpg","View")</f>
        <v>View</v>
      </c>
    </row>
    <row r="1245" spans="1:21" ht="40.799999999999997">
      <c r="A1245" s="6">
        <v>43419.608703703707</v>
      </c>
      <c r="B1245" s="7" t="str">
        <f>HYPERLINK("https://twitter.com/Duelelab","@Duelelab")</f>
        <v>@Duelelab</v>
      </c>
      <c r="C1245" s="8" t="s">
        <v>1254</v>
      </c>
      <c r="D1245" s="9" t="s">
        <v>4052</v>
      </c>
      <c r="E1245" s="10" t="str">
        <f>HYPERLINK("https://twitter.com/Duelelab/status/1063063201749917698","1063063201749917698")</f>
        <v>1063063201749917698</v>
      </c>
      <c r="F1245" s="12"/>
      <c r="G1245" s="11" t="s">
        <v>4055</v>
      </c>
      <c r="H1245" s="12"/>
      <c r="I1245" s="13">
        <v>66</v>
      </c>
      <c r="J1245" s="13">
        <v>93</v>
      </c>
      <c r="K1245" s="14" t="str">
        <f t="shared" si="341"/>
        <v>Twitter for Android</v>
      </c>
      <c r="L1245" s="13">
        <v>10113</v>
      </c>
      <c r="M1245" s="13">
        <v>3422</v>
      </c>
      <c r="N1245" s="13">
        <v>104</v>
      </c>
      <c r="O1245" s="15"/>
      <c r="P1245" s="6">
        <v>41830.764004629629</v>
      </c>
      <c r="Q1245" s="12"/>
      <c r="R1245" s="17" t="s">
        <v>1256</v>
      </c>
      <c r="S1245" s="12"/>
      <c r="T1245" s="12"/>
      <c r="U1245" s="10" t="str">
        <f>HYPERLINK("https://pbs.twimg.com/profile_images/914050990097223680/V25T08jL.jpg","View")</f>
        <v>View</v>
      </c>
    </row>
    <row r="1246" spans="1:21" ht="40.799999999999997">
      <c r="A1246" s="6">
        <v>43419.606747685189</v>
      </c>
      <c r="B1246" s="7" t="str">
        <f>HYPERLINK("https://twitter.com/Velherro","@Velherro")</f>
        <v>@Velherro</v>
      </c>
      <c r="C1246" s="8" t="s">
        <v>4058</v>
      </c>
      <c r="D1246" s="9" t="s">
        <v>4059</v>
      </c>
      <c r="E1246" s="10" t="str">
        <f>HYPERLINK("https://twitter.com/Velherro/status/1063062491469635584","1063062491469635584")</f>
        <v>1063062491469635584</v>
      </c>
      <c r="F1246" s="12"/>
      <c r="G1246" s="11" t="s">
        <v>4060</v>
      </c>
      <c r="H1246" s="12"/>
      <c r="I1246" s="13">
        <v>79</v>
      </c>
      <c r="J1246" s="13">
        <v>99</v>
      </c>
      <c r="K1246" s="14" t="str">
        <f>HYPERLINK("http://twitter.com/download/iphone","Twitter for iPhone")</f>
        <v>Twitter for iPhone</v>
      </c>
      <c r="L1246" s="13">
        <v>4880</v>
      </c>
      <c r="M1246" s="13">
        <v>3450</v>
      </c>
      <c r="N1246" s="13">
        <v>31</v>
      </c>
      <c r="O1246" s="15"/>
      <c r="P1246" s="6">
        <v>40784.657280092593</v>
      </c>
      <c r="Q1246" s="12"/>
      <c r="R1246" s="17" t="s">
        <v>4061</v>
      </c>
      <c r="S1246" s="12"/>
      <c r="T1246" s="12"/>
      <c r="U1246" s="10" t="str">
        <f>HYPERLINK("https://pbs.twimg.com/profile_images/1058599475801939969/O1HYkW4n.jpg","View")</f>
        <v>View</v>
      </c>
    </row>
    <row r="1247" spans="1:21" ht="51">
      <c r="A1247" s="6">
        <v>43419.606192129635</v>
      </c>
      <c r="B1247" s="7" t="str">
        <f>HYPERLINK("https://twitter.com/1981AIG","@1981AIG")</f>
        <v>@1981AIG</v>
      </c>
      <c r="C1247" s="8" t="s">
        <v>4062</v>
      </c>
      <c r="D1247" s="9" t="s">
        <v>4063</v>
      </c>
      <c r="E1247" s="10" t="str">
        <f>HYPERLINK("https://twitter.com/1981AIG/status/1063062290323423232","1063062290323423232")</f>
        <v>1063062290323423232</v>
      </c>
      <c r="F1247" s="12"/>
      <c r="G1247" s="12"/>
      <c r="H1247" s="12"/>
      <c r="I1247" s="13">
        <v>0</v>
      </c>
      <c r="J1247" s="13">
        <v>0</v>
      </c>
      <c r="K1247" s="14" t="str">
        <f>HYPERLINK("http://twitter.com/download/android","Twitter for Android")</f>
        <v>Twitter for Android</v>
      </c>
      <c r="L1247" s="13">
        <v>47</v>
      </c>
      <c r="M1247" s="13">
        <v>127</v>
      </c>
      <c r="N1247" s="13">
        <v>3</v>
      </c>
      <c r="O1247" s="15"/>
      <c r="P1247" s="6">
        <v>42775.506238425922</v>
      </c>
      <c r="Q1247" s="12"/>
      <c r="R1247" s="17" t="s">
        <v>4064</v>
      </c>
      <c r="S1247" s="12"/>
      <c r="T1247" s="12"/>
      <c r="U1247" s="10" t="str">
        <f>HYPERLINK("https://pbs.twimg.com/profile_images/829654619391459328/akL_GYaR.jpg","View")</f>
        <v>View</v>
      </c>
    </row>
    <row r="1248" spans="1:21" ht="40.799999999999997">
      <c r="A1248" s="6">
        <v>43419.600046296298</v>
      </c>
      <c r="B1248" s="7" t="str">
        <f>HYPERLINK("https://twitter.com/RojosPiojosos","@RojosPiojosos")</f>
        <v>@RojosPiojosos</v>
      </c>
      <c r="C1248" s="8" t="s">
        <v>4065</v>
      </c>
      <c r="D1248" s="9" t="s">
        <v>4066</v>
      </c>
      <c r="E1248" s="10" t="str">
        <f>HYPERLINK("https://twitter.com/RojosPiojosos/status/1063060063823245312","1063060063823245312")</f>
        <v>1063060063823245312</v>
      </c>
      <c r="F1248" s="11" t="s">
        <v>4067</v>
      </c>
      <c r="G1248" s="12"/>
      <c r="H1248" s="12"/>
      <c r="I1248" s="13">
        <v>0</v>
      </c>
      <c r="J1248" s="13">
        <v>0</v>
      </c>
      <c r="K1248" s="14" t="str">
        <f>HYPERLINK("http://twitter.com/download/iphone","Twitter for iPhone")</f>
        <v>Twitter for iPhone</v>
      </c>
      <c r="L1248" s="13">
        <v>1123</v>
      </c>
      <c r="M1248" s="13">
        <v>728</v>
      </c>
      <c r="N1248" s="13">
        <v>29</v>
      </c>
      <c r="O1248" s="15"/>
      <c r="P1248" s="6">
        <v>40616.49083333333</v>
      </c>
      <c r="Q1248" s="16" t="s">
        <v>44</v>
      </c>
      <c r="R1248" s="17" t="s">
        <v>4068</v>
      </c>
      <c r="S1248" s="12"/>
      <c r="T1248" s="12"/>
      <c r="U1248" s="10" t="str">
        <f>HYPERLINK("https://pbs.twimg.com/profile_images/784688243543576576/u_o-dWZX.jpg","View")</f>
        <v>View</v>
      </c>
    </row>
    <row r="1249" spans="1:21" ht="51">
      <c r="A1249" s="6">
        <v>43419.599803240737</v>
      </c>
      <c r="B1249" s="7" t="str">
        <f>HYPERLINK("https://twitter.com/Santi_ABASCAL","@Santi_ABASCAL")</f>
        <v>@Santi_ABASCAL</v>
      </c>
      <c r="C1249" s="8" t="s">
        <v>182</v>
      </c>
      <c r="D1249" s="9" t="s">
        <v>4959</v>
      </c>
      <c r="E1249" s="10" t="str">
        <f>HYPERLINK("https://twitter.com/Santi_ABASCAL/status/1063059975243776001","1063059975243776001")</f>
        <v>1063059975243776001</v>
      </c>
      <c r="F1249" s="12"/>
      <c r="G1249" s="11" t="s">
        <v>4960</v>
      </c>
      <c r="H1249" s="12"/>
      <c r="I1249" s="13">
        <v>943</v>
      </c>
      <c r="J1249" s="13">
        <v>1190</v>
      </c>
      <c r="K1249" s="14" t="str">
        <f>HYPERLINK("http://twitter.com/download/android","Twitter for Android")</f>
        <v>Twitter for Android</v>
      </c>
      <c r="L1249" s="13">
        <v>117602</v>
      </c>
      <c r="M1249" s="13">
        <v>3896</v>
      </c>
      <c r="N1249" s="13">
        <v>915</v>
      </c>
      <c r="O1249" s="23" t="s">
        <v>186</v>
      </c>
      <c r="P1249" s="6">
        <v>40606.716446759259</v>
      </c>
      <c r="Q1249" s="16" t="s">
        <v>188</v>
      </c>
      <c r="R1249" s="17" t="s">
        <v>189</v>
      </c>
      <c r="S1249" s="11" t="s">
        <v>190</v>
      </c>
      <c r="T1249" s="12"/>
      <c r="U1249" s="10" t="str">
        <f>HYPERLINK("https://pbs.twimg.com/profile_images/1010488787686879232/2CnqYKlD.jpg","View")</f>
        <v>View</v>
      </c>
    </row>
    <row r="1250" spans="1:21" ht="61.2">
      <c r="A1250" s="6">
        <v>43419.599386574075</v>
      </c>
      <c r="B1250" s="7" t="str">
        <f>HYPERLINK("https://twitter.com/anadebande","@anadebande")</f>
        <v>@anadebande</v>
      </c>
      <c r="C1250" s="8" t="s">
        <v>4069</v>
      </c>
      <c r="D1250" s="9" t="s">
        <v>4070</v>
      </c>
      <c r="E1250" s="10" t="str">
        <f>HYPERLINK("https://twitter.com/anadebande/status/1063059824060104704","1063059824060104704")</f>
        <v>1063059824060104704</v>
      </c>
      <c r="F1250" s="16" t="s">
        <v>4071</v>
      </c>
      <c r="G1250" s="12"/>
      <c r="H1250" s="12"/>
      <c r="I1250" s="13">
        <v>4</v>
      </c>
      <c r="J1250" s="13">
        <v>5</v>
      </c>
      <c r="K1250" s="14" t="str">
        <f>HYPERLINK("http://twitter.com/download/iphone","Twitter for iPhone")</f>
        <v>Twitter for iPhone</v>
      </c>
      <c r="L1250" s="13">
        <v>6199</v>
      </c>
      <c r="M1250" s="13">
        <v>585</v>
      </c>
      <c r="N1250" s="13">
        <v>134</v>
      </c>
      <c r="O1250" s="23" t="s">
        <v>186</v>
      </c>
      <c r="P1250" s="6">
        <v>40841.422974537039</v>
      </c>
      <c r="Q1250" s="16" t="s">
        <v>4072</v>
      </c>
      <c r="R1250" s="17" t="s">
        <v>4073</v>
      </c>
      <c r="S1250" s="11" t="s">
        <v>4074</v>
      </c>
      <c r="T1250" s="12"/>
      <c r="U1250" s="10" t="str">
        <f>HYPERLINK("https://pbs.twimg.com/profile_images/995293783087566848/o2-SvK9e.jpg","View")</f>
        <v>View</v>
      </c>
    </row>
    <row r="1251" spans="1:21" ht="102">
      <c r="A1251" s="6">
        <v>43419.593275462961</v>
      </c>
      <c r="B1251" s="7" t="str">
        <f>HYPERLINK("https://twitter.com/HispaniaVera","@HispaniaVera")</f>
        <v>@HispaniaVera</v>
      </c>
      <c r="C1251" s="8" t="s">
        <v>4079</v>
      </c>
      <c r="D1251" s="9" t="s">
        <v>4080</v>
      </c>
      <c r="E1251" s="10" t="str">
        <f>HYPERLINK("https://twitter.com/HispaniaVera/status/1063057610897788928","1063057610897788928")</f>
        <v>1063057610897788928</v>
      </c>
      <c r="F1251" s="16" t="s">
        <v>4082</v>
      </c>
      <c r="G1251" s="12"/>
      <c r="H1251" s="12"/>
      <c r="I1251" s="13">
        <v>0</v>
      </c>
      <c r="J1251" s="13">
        <v>0</v>
      </c>
      <c r="K1251" s="14" t="str">
        <f>HYPERLINK("http://twitter.com","Twitter Web Client")</f>
        <v>Twitter Web Client</v>
      </c>
      <c r="L1251" s="13">
        <v>305</v>
      </c>
      <c r="M1251" s="13">
        <v>1075</v>
      </c>
      <c r="N1251" s="13">
        <v>0</v>
      </c>
      <c r="O1251" s="15"/>
      <c r="P1251" s="6">
        <v>42416.794976851852</v>
      </c>
      <c r="Q1251" s="16" t="s">
        <v>66</v>
      </c>
      <c r="R1251" s="17" t="s">
        <v>4084</v>
      </c>
      <c r="S1251" s="12"/>
      <c r="T1251" s="12"/>
      <c r="U1251" s="10" t="str">
        <f>HYPERLINK("https://pbs.twimg.com/profile_images/1055952633683427330/Ow32um81.jpg","View")</f>
        <v>View</v>
      </c>
    </row>
    <row r="1252" spans="1:21" ht="40.799999999999997">
      <c r="A1252" s="6">
        <v>43419.588634259257</v>
      </c>
      <c r="B1252" s="7" t="str">
        <f>HYPERLINK("https://twitter.com/El_TylerDurden","@El_TylerDurden")</f>
        <v>@El_TylerDurden</v>
      </c>
      <c r="C1252" s="8" t="s">
        <v>4973</v>
      </c>
      <c r="D1252" s="9" t="s">
        <v>4974</v>
      </c>
      <c r="E1252" s="10" t="str">
        <f>HYPERLINK("https://twitter.com/El_TylerDurden/status/1063055927354515456","1063055927354515456")</f>
        <v>1063055927354515456</v>
      </c>
      <c r="F1252" s="12"/>
      <c r="G1252" s="11" t="s">
        <v>4976</v>
      </c>
      <c r="H1252" s="12"/>
      <c r="I1252" s="13">
        <v>3</v>
      </c>
      <c r="J1252" s="13">
        <v>2</v>
      </c>
      <c r="K1252" s="14" t="str">
        <f>HYPERLINK("http://twitter.com/download/android","Twitter for Android")</f>
        <v>Twitter for Android</v>
      </c>
      <c r="L1252" s="13">
        <v>266</v>
      </c>
      <c r="M1252" s="13">
        <v>132</v>
      </c>
      <c r="N1252" s="13">
        <v>6</v>
      </c>
      <c r="O1252" s="15"/>
      <c r="P1252" s="6">
        <v>43336.098796296297</v>
      </c>
      <c r="Q1252" s="16" t="s">
        <v>4978</v>
      </c>
      <c r="R1252" s="17" t="s">
        <v>4979</v>
      </c>
      <c r="S1252" s="11" t="s">
        <v>4980</v>
      </c>
      <c r="T1252" s="12"/>
      <c r="U1252" s="10" t="str">
        <f>HYPERLINK("https://pbs.twimg.com/profile_images/1058188751921393665/80NjvJER.jpg","View")</f>
        <v>View</v>
      </c>
    </row>
    <row r="1253" spans="1:21" ht="61.2">
      <c r="A1253" s="6">
        <v>43419.586886574078</v>
      </c>
      <c r="B1253" s="7" t="str">
        <f>HYPERLINK("https://twitter.com/aburrido354","@aburrido354")</f>
        <v>@aburrido354</v>
      </c>
      <c r="C1253" s="8" t="s">
        <v>4981</v>
      </c>
      <c r="D1253" s="9" t="s">
        <v>4982</v>
      </c>
      <c r="E1253" s="10" t="str">
        <f>HYPERLINK("https://twitter.com/aburrido354/status/1063055293779709952","1063055293779709952")</f>
        <v>1063055293779709952</v>
      </c>
      <c r="F1253" s="11" t="s">
        <v>4984</v>
      </c>
      <c r="G1253" s="12"/>
      <c r="H1253" s="12"/>
      <c r="I1253" s="13">
        <v>22</v>
      </c>
      <c r="J1253" s="13">
        <v>53</v>
      </c>
      <c r="K1253" s="14" t="str">
        <f>HYPERLINK("https://about.twitter.com/products/tweetdeck","TweetDeck")</f>
        <v>TweetDeck</v>
      </c>
      <c r="L1253" s="13">
        <v>14593</v>
      </c>
      <c r="M1253" s="13">
        <v>288</v>
      </c>
      <c r="N1253" s="13">
        <v>120</v>
      </c>
      <c r="O1253" s="15"/>
      <c r="P1253" s="6">
        <v>40549.702962962961</v>
      </c>
      <c r="Q1253" s="12"/>
      <c r="R1253" s="17" t="s">
        <v>4985</v>
      </c>
      <c r="S1253" s="11" t="s">
        <v>4986</v>
      </c>
      <c r="T1253" s="12"/>
      <c r="U1253" s="10" t="str">
        <f>HYPERLINK("https://pbs.twimg.com/profile_images/1022115636930138112/QpAiD4R6.jpg","View")</f>
        <v>View</v>
      </c>
    </row>
    <row r="1254" spans="1:21" ht="51">
      <c r="A1254" s="6">
        <v>43419.584722222222</v>
      </c>
      <c r="B1254" s="7" t="str">
        <f>HYPERLINK("https://twitter.com/bitMomentum","@bitMomentum")</f>
        <v>@bitMomentum</v>
      </c>
      <c r="C1254" s="8" t="s">
        <v>368</v>
      </c>
      <c r="D1254" s="9" t="s">
        <v>4085</v>
      </c>
      <c r="E1254" s="10" t="str">
        <f>HYPERLINK("https://twitter.com/bitMomentum/status/1063054508912197638","1063054508912197638")</f>
        <v>1063054508912197638</v>
      </c>
      <c r="F1254" s="12"/>
      <c r="G1254" s="12"/>
      <c r="H1254" s="12"/>
      <c r="I1254" s="13">
        <v>0</v>
      </c>
      <c r="J1254" s="13">
        <v>0</v>
      </c>
      <c r="K1254" s="14" t="str">
        <f>HYPERLINK("http://www.bitmomentum.com","bitMomentum Bot")</f>
        <v>bitMomentum Bot</v>
      </c>
      <c r="L1254" s="13">
        <v>10132</v>
      </c>
      <c r="M1254" s="13">
        <v>1060</v>
      </c>
      <c r="N1254" s="13">
        <v>267</v>
      </c>
      <c r="O1254" s="15"/>
      <c r="P1254" s="6">
        <v>41608.667511574073</v>
      </c>
      <c r="Q1254" s="12"/>
      <c r="R1254" s="17" t="s">
        <v>371</v>
      </c>
      <c r="S1254" s="11" t="s">
        <v>372</v>
      </c>
      <c r="T1254" s="12"/>
      <c r="U1254" s="10" t="str">
        <f>HYPERLINK("https://pbs.twimg.com/profile_images/378800000862185241/20ij2H3u.png","View")</f>
        <v>View</v>
      </c>
    </row>
    <row r="1255" spans="1:21" ht="51">
      <c r="A1255" s="6">
        <v>43419.584201388891</v>
      </c>
      <c r="B1255" s="7" t="str">
        <f>HYPERLINK("https://twitter.com/JoseLuisLawyer","@JoseLuisLawyer")</f>
        <v>@JoseLuisLawyer</v>
      </c>
      <c r="C1255" s="8" t="s">
        <v>2334</v>
      </c>
      <c r="D1255" s="9" t="s">
        <v>4086</v>
      </c>
      <c r="E1255" s="10" t="str">
        <f>HYPERLINK("https://twitter.com/JoseLuisLawyer/status/1063054323138080769","1063054323138080769")</f>
        <v>1063054323138080769</v>
      </c>
      <c r="F1255" s="12"/>
      <c r="G1255" s="12"/>
      <c r="H1255" s="12"/>
      <c r="I1255" s="13">
        <v>1</v>
      </c>
      <c r="J1255" s="13">
        <v>3</v>
      </c>
      <c r="K1255" s="14" t="str">
        <f t="shared" ref="K1255:K1257" si="342">HYPERLINK("http://twitter.com/download/android","Twitter for Android")</f>
        <v>Twitter for Android</v>
      </c>
      <c r="L1255" s="13">
        <v>604</v>
      </c>
      <c r="M1255" s="13">
        <v>1505</v>
      </c>
      <c r="N1255" s="13">
        <v>7</v>
      </c>
      <c r="O1255" s="15"/>
      <c r="P1255" s="6">
        <v>40198.84752314815</v>
      </c>
      <c r="Q1255" s="12"/>
      <c r="R1255" s="17" t="s">
        <v>2337</v>
      </c>
      <c r="S1255" s="12"/>
      <c r="T1255" s="12"/>
      <c r="U1255" s="10" t="str">
        <f>HYPERLINK("https://pbs.twimg.com/profile_images/917641942875459584/BJRuGxqh.jpg","View")</f>
        <v>View</v>
      </c>
    </row>
    <row r="1256" spans="1:21" ht="71.400000000000006">
      <c r="A1256" s="6">
        <v>43419.578090277777</v>
      </c>
      <c r="B1256" s="7" t="str">
        <f>HYPERLINK("https://twitter.com/josepastranote","@josepastranote")</f>
        <v>@josepastranote</v>
      </c>
      <c r="C1256" s="8" t="s">
        <v>55</v>
      </c>
      <c r="D1256" s="9" t="s">
        <v>4090</v>
      </c>
      <c r="E1256" s="10" t="str">
        <f>HYPERLINK("https://twitter.com/josepastranote/status/1063052105408303105","1063052105408303105")</f>
        <v>1063052105408303105</v>
      </c>
      <c r="F1256" s="11" t="s">
        <v>4091</v>
      </c>
      <c r="G1256" s="12"/>
      <c r="H1256" s="12"/>
      <c r="I1256" s="13">
        <v>0</v>
      </c>
      <c r="J1256" s="13">
        <v>0</v>
      </c>
      <c r="K1256" s="14" t="str">
        <f t="shared" si="342"/>
        <v>Twitter for Android</v>
      </c>
      <c r="L1256" s="13">
        <v>145</v>
      </c>
      <c r="M1256" s="13">
        <v>294</v>
      </c>
      <c r="N1256" s="13">
        <v>1</v>
      </c>
      <c r="O1256" s="15"/>
      <c r="P1256" s="6">
        <v>40636.529606481483</v>
      </c>
      <c r="Q1256" s="12"/>
      <c r="R1256" s="17" t="s">
        <v>58</v>
      </c>
      <c r="S1256" s="12"/>
      <c r="T1256" s="12"/>
      <c r="U1256" s="10" t="str">
        <f>HYPERLINK("https://pbs.twimg.com/profile_images/1051441796902002690/f1A7-S5t.jpg","View")</f>
        <v>View</v>
      </c>
    </row>
    <row r="1257" spans="1:21" ht="61.2">
      <c r="A1257" s="6">
        <v>43419.572233796294</v>
      </c>
      <c r="B1257" s="7" t="str">
        <f>HYPERLINK("https://twitter.com/UlisesGamez10","@UlisesGamez10")</f>
        <v>@UlisesGamez10</v>
      </c>
      <c r="C1257" s="8" t="s">
        <v>23</v>
      </c>
      <c r="D1257" s="9" t="s">
        <v>4094</v>
      </c>
      <c r="E1257" s="10" t="str">
        <f>HYPERLINK("https://twitter.com/UlisesGamez10/status/1063049983459504128","1063049983459504128")</f>
        <v>1063049983459504128</v>
      </c>
      <c r="F1257" s="11" t="s">
        <v>4095</v>
      </c>
      <c r="G1257" s="12"/>
      <c r="H1257" s="12"/>
      <c r="I1257" s="13">
        <v>1</v>
      </c>
      <c r="J1257" s="13">
        <v>0</v>
      </c>
      <c r="K1257" s="14" t="str">
        <f t="shared" si="342"/>
        <v>Twitter for Android</v>
      </c>
      <c r="L1257" s="13">
        <v>1162</v>
      </c>
      <c r="M1257" s="13">
        <v>5000</v>
      </c>
      <c r="N1257" s="13">
        <v>0</v>
      </c>
      <c r="O1257" s="15"/>
      <c r="P1257" s="6">
        <v>43190.59783564815</v>
      </c>
      <c r="Q1257" s="16" t="s">
        <v>25</v>
      </c>
      <c r="R1257" s="17" t="s">
        <v>27</v>
      </c>
      <c r="S1257" s="12"/>
      <c r="T1257" s="12"/>
      <c r="U1257" s="10" t="str">
        <f>HYPERLINK("https://pbs.twimg.com/profile_images/1031158722586980352/ItGPtjBj.jpg","View")</f>
        <v>View</v>
      </c>
    </row>
    <row r="1258" spans="1:21" ht="51">
      <c r="A1258" s="6">
        <v>43419.570266203707</v>
      </c>
      <c r="B1258" s="7" t="str">
        <f>HYPERLINK("https://twitter.com/soymarcosalonso","@soymarcosalonso")</f>
        <v>@soymarcosalonso</v>
      </c>
      <c r="C1258" s="8" t="s">
        <v>4099</v>
      </c>
      <c r="D1258" s="9" t="s">
        <v>4100</v>
      </c>
      <c r="E1258" s="10" t="str">
        <f>HYPERLINK("https://twitter.com/soymarcosalonso/status/1063049270335561728","1063049270335561728")</f>
        <v>1063049270335561728</v>
      </c>
      <c r="F1258" s="12"/>
      <c r="G1258" s="11" t="s">
        <v>4102</v>
      </c>
      <c r="H1258" s="12"/>
      <c r="I1258" s="13">
        <v>5</v>
      </c>
      <c r="J1258" s="13">
        <v>11</v>
      </c>
      <c r="K1258" s="14" t="str">
        <f>HYPERLINK("http://twitter.com/download/iphone","Twitter for iPhone")</f>
        <v>Twitter for iPhone</v>
      </c>
      <c r="L1258" s="13">
        <v>422</v>
      </c>
      <c r="M1258" s="13">
        <v>172</v>
      </c>
      <c r="N1258" s="13">
        <v>0</v>
      </c>
      <c r="O1258" s="15"/>
      <c r="P1258" s="6">
        <v>42210.619710648149</v>
      </c>
      <c r="Q1258" s="16" t="s">
        <v>4103</v>
      </c>
      <c r="R1258" s="17" t="s">
        <v>4104</v>
      </c>
      <c r="S1258" s="12"/>
      <c r="T1258" s="12"/>
      <c r="U1258" s="10" t="str">
        <f>HYPERLINK("https://pbs.twimg.com/profile_images/1040590721735172096/GHpzNIja.jpg","View")</f>
        <v>View</v>
      </c>
    </row>
    <row r="1259" spans="1:21" ht="51">
      <c r="A1259" s="6">
        <v>43419.569710648153</v>
      </c>
      <c r="B1259" s="7" t="str">
        <f>HYPERLINK("https://twitter.com/rafahusqvarna16","@rafahusqvarna16")</f>
        <v>@rafahusqvarna16</v>
      </c>
      <c r="C1259" s="8" t="s">
        <v>4107</v>
      </c>
      <c r="D1259" s="9" t="s">
        <v>4108</v>
      </c>
      <c r="E1259" s="10" t="str">
        <f>HYPERLINK("https://twitter.com/rafahusqvarna16/status/1063049068182671360","1063049068182671360")</f>
        <v>1063049068182671360</v>
      </c>
      <c r="F1259" s="11" t="s">
        <v>4110</v>
      </c>
      <c r="G1259" s="12"/>
      <c r="H1259" s="12"/>
      <c r="I1259" s="13">
        <v>2</v>
      </c>
      <c r="J1259" s="13">
        <v>2</v>
      </c>
      <c r="K1259" s="14" t="str">
        <f t="shared" ref="K1259:K1261" si="343">HYPERLINK("http://twitter.com/download/android","Twitter for Android")</f>
        <v>Twitter for Android</v>
      </c>
      <c r="L1259" s="13">
        <v>907</v>
      </c>
      <c r="M1259" s="13">
        <v>864</v>
      </c>
      <c r="N1259" s="13">
        <v>6</v>
      </c>
      <c r="O1259" s="15"/>
      <c r="P1259" s="6">
        <v>42967.960405092592</v>
      </c>
      <c r="Q1259" s="16" t="s">
        <v>658</v>
      </c>
      <c r="R1259" s="17" t="s">
        <v>4113</v>
      </c>
      <c r="S1259" s="12"/>
      <c r="T1259" s="12"/>
      <c r="U1259" s="10" t="str">
        <f>HYPERLINK("https://pbs.twimg.com/profile_images/1051776344479191041/Y96s7xrD.jpg","View")</f>
        <v>View</v>
      </c>
    </row>
    <row r="1260" spans="1:21" ht="51">
      <c r="A1260" s="6">
        <v>43419.568055555559</v>
      </c>
      <c r="B1260" s="7" t="str">
        <f>HYPERLINK("https://twitter.com/UlisesGamez10","@UlisesGamez10")</f>
        <v>@UlisesGamez10</v>
      </c>
      <c r="C1260" s="8" t="s">
        <v>23</v>
      </c>
      <c r="D1260" s="9" t="s">
        <v>4114</v>
      </c>
      <c r="E1260" s="10" t="str">
        <f>HYPERLINK("https://twitter.com/UlisesGamez10/status/1063048471870144512","1063048471870144512")</f>
        <v>1063048471870144512</v>
      </c>
      <c r="F1260" s="12"/>
      <c r="G1260" s="12"/>
      <c r="H1260" s="12"/>
      <c r="I1260" s="13">
        <v>17</v>
      </c>
      <c r="J1260" s="13">
        <v>46</v>
      </c>
      <c r="K1260" s="14" t="str">
        <f t="shared" si="343"/>
        <v>Twitter for Android</v>
      </c>
      <c r="L1260" s="13">
        <v>1162</v>
      </c>
      <c r="M1260" s="13">
        <v>5000</v>
      </c>
      <c r="N1260" s="13">
        <v>0</v>
      </c>
      <c r="O1260" s="15"/>
      <c r="P1260" s="6">
        <v>43190.59783564815</v>
      </c>
      <c r="Q1260" s="16" t="s">
        <v>25</v>
      </c>
      <c r="R1260" s="17" t="s">
        <v>27</v>
      </c>
      <c r="S1260" s="12"/>
      <c r="T1260" s="12"/>
      <c r="U1260" s="10" t="str">
        <f>HYPERLINK("https://pbs.twimg.com/profile_images/1031158722586980352/ItGPtjBj.jpg","View")</f>
        <v>View</v>
      </c>
    </row>
    <row r="1261" spans="1:21" ht="61.2">
      <c r="A1261" s="6">
        <v>43419.566261574073</v>
      </c>
      <c r="B1261" s="7" t="str">
        <f>HYPERLINK("https://twitter.com/DuranEstany","@DuranEstany")</f>
        <v>@DuranEstany</v>
      </c>
      <c r="C1261" s="8" t="s">
        <v>1985</v>
      </c>
      <c r="D1261" s="9" t="s">
        <v>4115</v>
      </c>
      <c r="E1261" s="10" t="str">
        <f>HYPERLINK("https://twitter.com/DuranEstany/status/1063047818590502913","1063047818590502913")</f>
        <v>1063047818590502913</v>
      </c>
      <c r="F1261" s="12"/>
      <c r="G1261" s="11" t="s">
        <v>4116</v>
      </c>
      <c r="H1261" s="12"/>
      <c r="I1261" s="13">
        <v>0</v>
      </c>
      <c r="J1261" s="13">
        <v>0</v>
      </c>
      <c r="K1261" s="14" t="str">
        <f t="shared" si="343"/>
        <v>Twitter for Android</v>
      </c>
      <c r="L1261" s="13">
        <v>65</v>
      </c>
      <c r="M1261" s="13">
        <v>332</v>
      </c>
      <c r="N1261" s="13">
        <v>1</v>
      </c>
      <c r="O1261" s="15"/>
      <c r="P1261" s="6">
        <v>42965.470567129625</v>
      </c>
      <c r="Q1261" s="16" t="s">
        <v>1988</v>
      </c>
      <c r="R1261" s="17" t="s">
        <v>1989</v>
      </c>
      <c r="S1261" s="12"/>
      <c r="T1261" s="12"/>
      <c r="U1261" s="10" t="str">
        <f>HYPERLINK("https://pbs.twimg.com/profile_images/1029697147439067136/UyzSjFrW.jpg","View")</f>
        <v>View</v>
      </c>
    </row>
    <row r="1262" spans="1:21" ht="51">
      <c r="A1262" s="6">
        <v>43419.560254629629</v>
      </c>
      <c r="B1262" s="7" t="str">
        <f>HYPERLINK("https://twitter.com/Defensa_Fuentes","@Defensa_Fuentes")</f>
        <v>@Defensa_Fuentes</v>
      </c>
      <c r="C1262" s="8" t="s">
        <v>4117</v>
      </c>
      <c r="D1262" s="9" t="s">
        <v>4118</v>
      </c>
      <c r="E1262" s="10" t="str">
        <f>HYPERLINK("https://twitter.com/Defensa_Fuentes/status/1063045642648539142","1063045642648539142")</f>
        <v>1063045642648539142</v>
      </c>
      <c r="F1262" s="12"/>
      <c r="G1262" s="11" t="s">
        <v>4119</v>
      </c>
      <c r="H1262" s="12"/>
      <c r="I1262" s="13">
        <v>1</v>
      </c>
      <c r="J1262" s="13">
        <v>1</v>
      </c>
      <c r="K1262" s="14" t="str">
        <f>HYPERLINK("http://twitter.com","Twitter Web Client")</f>
        <v>Twitter Web Client</v>
      </c>
      <c r="L1262" s="13">
        <v>496</v>
      </c>
      <c r="M1262" s="13">
        <v>1628</v>
      </c>
      <c r="N1262" s="13">
        <v>4</v>
      </c>
      <c r="O1262" s="15"/>
      <c r="P1262" s="6">
        <v>43221.734282407408</v>
      </c>
      <c r="Q1262" s="16" t="s">
        <v>4120</v>
      </c>
      <c r="R1262" s="17" t="s">
        <v>4121</v>
      </c>
      <c r="S1262" s="11" t="s">
        <v>4122</v>
      </c>
      <c r="T1262" s="12"/>
      <c r="U1262" s="10" t="str">
        <f>HYPERLINK("https://pbs.twimg.com/profile_images/991342192189984768/SLIH9JTa.jpg","View")</f>
        <v>View</v>
      </c>
    </row>
    <row r="1263" spans="1:21" ht="71.400000000000006">
      <c r="A1263" s="6">
        <v>43419.558472222227</v>
      </c>
      <c r="B1263" s="7" t="str">
        <f>HYPERLINK("https://twitter.com/pinacho_fatima","@pinacho_fatima")</f>
        <v>@pinacho_fatima</v>
      </c>
      <c r="C1263" s="8" t="s">
        <v>4123</v>
      </c>
      <c r="D1263" s="9" t="s">
        <v>4124</v>
      </c>
      <c r="E1263" s="10" t="str">
        <f>HYPERLINK("https://twitter.com/pinacho_fatima/status/1063044996440449025","1063044996440449025")</f>
        <v>1063044996440449025</v>
      </c>
      <c r="F1263" s="11" t="s">
        <v>4125</v>
      </c>
      <c r="G1263" s="11" t="s">
        <v>4126</v>
      </c>
      <c r="H1263" s="12"/>
      <c r="I1263" s="13">
        <v>26</v>
      </c>
      <c r="J1263" s="13">
        <v>26</v>
      </c>
      <c r="K1263" s="14" t="str">
        <f>HYPERLINK("http://twitter.com/download/android","Twitter for Android")</f>
        <v>Twitter for Android</v>
      </c>
      <c r="L1263" s="13">
        <v>85</v>
      </c>
      <c r="M1263" s="13">
        <v>35</v>
      </c>
      <c r="N1263" s="13">
        <v>0</v>
      </c>
      <c r="O1263" s="15"/>
      <c r="P1263" s="6">
        <v>43407.759375000001</v>
      </c>
      <c r="Q1263" s="16" t="s">
        <v>153</v>
      </c>
      <c r="R1263" s="17" t="s">
        <v>4127</v>
      </c>
      <c r="S1263" s="11" t="s">
        <v>187</v>
      </c>
      <c r="T1263" s="12"/>
      <c r="U1263" s="10" t="str">
        <f>HYPERLINK("https://pbs.twimg.com/profile_images/1059536962837794817/DKwer-rh.jpg","View")</f>
        <v>View</v>
      </c>
    </row>
    <row r="1264" spans="1:21" ht="122.4">
      <c r="A1264" s="6">
        <v>43419.556817129633</v>
      </c>
      <c r="B1264" s="7" t="str">
        <f>HYPERLINK("https://twitter.com/pasanchezmatas","@pasanchezmatas")</f>
        <v>@pasanchezmatas</v>
      </c>
      <c r="C1264" s="8" t="s">
        <v>2098</v>
      </c>
      <c r="D1264" s="9" t="s">
        <v>4128</v>
      </c>
      <c r="E1264" s="10" t="str">
        <f>HYPERLINK("https://twitter.com/pasanchezmatas/status/1063044396378140672","1063044396378140672")</f>
        <v>1063044396378140672</v>
      </c>
      <c r="F1264" s="11" t="s">
        <v>4129</v>
      </c>
      <c r="G1264" s="11" t="s">
        <v>4131</v>
      </c>
      <c r="H1264" s="12"/>
      <c r="I1264" s="13">
        <v>1</v>
      </c>
      <c r="J1264" s="13">
        <v>1</v>
      </c>
      <c r="K1264" s="14" t="str">
        <f>HYPERLINK("http://twitter.com","Twitter Web Client")</f>
        <v>Twitter Web Client</v>
      </c>
      <c r="L1264" s="13">
        <v>1932</v>
      </c>
      <c r="M1264" s="13">
        <v>5001</v>
      </c>
      <c r="N1264" s="13">
        <v>19</v>
      </c>
      <c r="O1264" s="15"/>
      <c r="P1264" s="6">
        <v>41592.824942129628</v>
      </c>
      <c r="Q1264" s="16" t="s">
        <v>66</v>
      </c>
      <c r="R1264" s="17" t="s">
        <v>2105</v>
      </c>
      <c r="S1264" s="12"/>
      <c r="T1264" s="12"/>
      <c r="U1264" s="10" t="str">
        <f>HYPERLINK("https://pbs.twimg.com/profile_images/771425436161155073/eU9Tl6C0.jpg","View")</f>
        <v>View</v>
      </c>
    </row>
    <row r="1265" spans="1:21" ht="40.799999999999997">
      <c r="A1265" s="6">
        <v>43419.554479166662</v>
      </c>
      <c r="B1265" s="7" t="str">
        <f>HYPERLINK("https://twitter.com/DuranEstany","@DuranEstany")</f>
        <v>@DuranEstany</v>
      </c>
      <c r="C1265" s="8" t="s">
        <v>1985</v>
      </c>
      <c r="D1265" s="9" t="s">
        <v>4133</v>
      </c>
      <c r="E1265" s="10" t="str">
        <f>HYPERLINK("https://twitter.com/DuranEstany/status/1063043551993434113","1063043551993434113")</f>
        <v>1063043551993434113</v>
      </c>
      <c r="F1265" s="11" t="s">
        <v>4134</v>
      </c>
      <c r="G1265" s="12"/>
      <c r="H1265" s="12"/>
      <c r="I1265" s="13">
        <v>0</v>
      </c>
      <c r="J1265" s="13">
        <v>0</v>
      </c>
      <c r="K1265" s="14" t="str">
        <f t="shared" ref="K1265:K1267" si="344">HYPERLINK("http://twitter.com/download/android","Twitter for Android")</f>
        <v>Twitter for Android</v>
      </c>
      <c r="L1265" s="13">
        <v>65</v>
      </c>
      <c r="M1265" s="13">
        <v>332</v>
      </c>
      <c r="N1265" s="13">
        <v>1</v>
      </c>
      <c r="O1265" s="15"/>
      <c r="P1265" s="6">
        <v>42965.470567129625</v>
      </c>
      <c r="Q1265" s="16" t="s">
        <v>1988</v>
      </c>
      <c r="R1265" s="17" t="s">
        <v>1989</v>
      </c>
      <c r="S1265" s="12"/>
      <c r="T1265" s="12"/>
      <c r="U1265" s="10" t="str">
        <f>HYPERLINK("https://pbs.twimg.com/profile_images/1029697147439067136/UyzSjFrW.jpg","View")</f>
        <v>View</v>
      </c>
    </row>
    <row r="1266" spans="1:21" ht="40.799999999999997">
      <c r="A1266" s="6">
        <v>43419.548842592594</v>
      </c>
      <c r="B1266" s="7" t="str">
        <f>HYPERLINK("https://twitter.com/juanortiz076","@juanortiz076")</f>
        <v>@juanortiz076</v>
      </c>
      <c r="C1266" s="8" t="s">
        <v>619</v>
      </c>
      <c r="D1266" s="9" t="s">
        <v>5013</v>
      </c>
      <c r="E1266" s="10" t="str">
        <f>HYPERLINK("https://twitter.com/juanortiz076/status/1063041506238521344","1063041506238521344")</f>
        <v>1063041506238521344</v>
      </c>
      <c r="F1266" s="11" t="s">
        <v>4267</v>
      </c>
      <c r="G1266" s="12"/>
      <c r="H1266" s="12"/>
      <c r="I1266" s="13">
        <v>0</v>
      </c>
      <c r="J1266" s="13">
        <v>0</v>
      </c>
      <c r="K1266" s="14" t="str">
        <f t="shared" si="344"/>
        <v>Twitter for Android</v>
      </c>
      <c r="L1266" s="13">
        <v>3818</v>
      </c>
      <c r="M1266" s="13">
        <v>3796</v>
      </c>
      <c r="N1266" s="13">
        <v>14</v>
      </c>
      <c r="O1266" s="15"/>
      <c r="P1266" s="6">
        <v>42159.128587962958</v>
      </c>
      <c r="Q1266" s="16" t="s">
        <v>626</v>
      </c>
      <c r="R1266" s="17" t="s">
        <v>627</v>
      </c>
      <c r="S1266" s="12"/>
      <c r="T1266" s="12"/>
      <c r="U1266" s="10" t="str">
        <f>HYPERLINK("https://pbs.twimg.com/profile_images/1040108619843489794/3N6Z4LBp.jpg","View")</f>
        <v>View</v>
      </c>
    </row>
    <row r="1267" spans="1:21" ht="51">
      <c r="A1267" s="6">
        <v>43419.545208333337</v>
      </c>
      <c r="B1267" s="7" t="str">
        <f>HYPERLINK("https://twitter.com/PisquiPos","@PisquiPos")</f>
        <v>@PisquiPos</v>
      </c>
      <c r="C1267" s="8" t="s">
        <v>3915</v>
      </c>
      <c r="D1267" s="9" t="s">
        <v>5015</v>
      </c>
      <c r="E1267" s="10" t="str">
        <f>HYPERLINK("https://twitter.com/PisquiPos/status/1063040192943132673","1063040192943132673")</f>
        <v>1063040192943132673</v>
      </c>
      <c r="F1267" s="12"/>
      <c r="G1267" s="12"/>
      <c r="H1267" s="12"/>
      <c r="I1267" s="13">
        <v>0</v>
      </c>
      <c r="J1267" s="13">
        <v>3</v>
      </c>
      <c r="K1267" s="14" t="str">
        <f t="shared" si="344"/>
        <v>Twitter for Android</v>
      </c>
      <c r="L1267" s="13">
        <v>101</v>
      </c>
      <c r="M1267" s="13">
        <v>140</v>
      </c>
      <c r="N1267" s="13">
        <v>2</v>
      </c>
      <c r="O1267" s="15"/>
      <c r="P1267" s="6">
        <v>40594.976365740738</v>
      </c>
      <c r="Q1267" s="12"/>
      <c r="R1267" s="17" t="s">
        <v>3917</v>
      </c>
      <c r="S1267" s="12"/>
      <c r="T1267" s="12"/>
      <c r="U1267" s="10" t="str">
        <f>HYPERLINK("https://pbs.twimg.com/profile_images/1052566410646441985/9eBUbGHG.jpg","View")</f>
        <v>View</v>
      </c>
    </row>
    <row r="1268" spans="1:21" ht="51">
      <c r="A1268" s="6">
        <v>43419.54305555555</v>
      </c>
      <c r="B1268" s="7" t="str">
        <f>HYPERLINK("https://twitter.com/bitMomentum","@bitMomentum")</f>
        <v>@bitMomentum</v>
      </c>
      <c r="C1268" s="8" t="s">
        <v>368</v>
      </c>
      <c r="D1268" s="9" t="s">
        <v>4136</v>
      </c>
      <c r="E1268" s="10" t="str">
        <f>HYPERLINK("https://twitter.com/bitMomentum/status/1063039409170329602","1063039409170329602")</f>
        <v>1063039409170329602</v>
      </c>
      <c r="F1268" s="12"/>
      <c r="G1268" s="12"/>
      <c r="H1268" s="12"/>
      <c r="I1268" s="13">
        <v>0</v>
      </c>
      <c r="J1268" s="13">
        <v>0</v>
      </c>
      <c r="K1268" s="14" t="str">
        <f>HYPERLINK("http://www.bitmomentum.com","bitMomentum Bot")</f>
        <v>bitMomentum Bot</v>
      </c>
      <c r="L1268" s="13">
        <v>10132</v>
      </c>
      <c r="M1268" s="13">
        <v>1060</v>
      </c>
      <c r="N1268" s="13">
        <v>267</v>
      </c>
      <c r="O1268" s="15"/>
      <c r="P1268" s="6">
        <v>41608.667511574073</v>
      </c>
      <c r="Q1268" s="12"/>
      <c r="R1268" s="17" t="s">
        <v>371</v>
      </c>
      <c r="S1268" s="11" t="s">
        <v>372</v>
      </c>
      <c r="T1268" s="12"/>
      <c r="U1268" s="10" t="str">
        <f>HYPERLINK("https://pbs.twimg.com/profile_images/378800000862185241/20ij2H3u.png","View")</f>
        <v>View</v>
      </c>
    </row>
    <row r="1269" spans="1:21" ht="30.6">
      <c r="A1269" s="6">
        <v>43419.533206018517</v>
      </c>
      <c r="B1269" s="7" t="str">
        <f>HYPERLINK("https://twitter.com/diariolaopinion","@diariolaopinion")</f>
        <v>@diariolaopinion</v>
      </c>
      <c r="C1269" s="8" t="s">
        <v>3900</v>
      </c>
      <c r="D1269" s="9" t="s">
        <v>3901</v>
      </c>
      <c r="E1269" s="10" t="str">
        <f>HYPERLINK("https://twitter.com/diariolaopinion/status/1063035840279052288","1063035840279052288")</f>
        <v>1063035840279052288</v>
      </c>
      <c r="F1269" s="11" t="s">
        <v>3902</v>
      </c>
      <c r="G1269" s="12"/>
      <c r="H1269" s="12"/>
      <c r="I1269" s="13">
        <v>0</v>
      </c>
      <c r="J1269" s="13">
        <v>2</v>
      </c>
      <c r="K1269" s="14" t="str">
        <f>HYPERLINK("http://twitter.com","Twitter Web Client")</f>
        <v>Twitter Web Client</v>
      </c>
      <c r="L1269" s="13">
        <v>119887</v>
      </c>
      <c r="M1269" s="13">
        <v>1379</v>
      </c>
      <c r="N1269" s="13">
        <v>943</v>
      </c>
      <c r="O1269" s="23" t="s">
        <v>186</v>
      </c>
      <c r="P1269" s="6">
        <v>40273.898692129631</v>
      </c>
      <c r="Q1269" s="16" t="s">
        <v>3905</v>
      </c>
      <c r="R1269" s="17" t="s">
        <v>3906</v>
      </c>
      <c r="S1269" s="11" t="s">
        <v>3907</v>
      </c>
      <c r="T1269" s="12"/>
      <c r="U1269" s="10" t="str">
        <f>HYPERLINK("https://pbs.twimg.com/profile_images/948983253708476416/8KUZQrUn.jpg","View")</f>
        <v>View</v>
      </c>
    </row>
    <row r="1270" spans="1:21" ht="91.8">
      <c r="A1270" s="6">
        <v>43419.533136574071</v>
      </c>
      <c r="B1270" s="7" t="str">
        <f>HYPERLINK("https://twitter.com/MacarronAbrigao","@MacarronAbrigao")</f>
        <v>@MacarronAbrigao</v>
      </c>
      <c r="C1270" s="8" t="s">
        <v>4139</v>
      </c>
      <c r="D1270" s="9" t="s">
        <v>4140</v>
      </c>
      <c r="E1270" s="10" t="str">
        <f>HYPERLINK("https://twitter.com/MacarronAbrigao/status/1063035817298456576","1063035817298456576")</f>
        <v>1063035817298456576</v>
      </c>
      <c r="F1270" s="11" t="s">
        <v>4141</v>
      </c>
      <c r="G1270" s="12"/>
      <c r="H1270" s="12"/>
      <c r="I1270" s="13">
        <v>0</v>
      </c>
      <c r="J1270" s="13">
        <v>0</v>
      </c>
      <c r="K1270" s="14" t="str">
        <f>HYPERLINK("http://twitter.com/download/iphone","Twitter for iPhone")</f>
        <v>Twitter for iPhone</v>
      </c>
      <c r="L1270" s="13">
        <v>264</v>
      </c>
      <c r="M1270" s="13">
        <v>1234</v>
      </c>
      <c r="N1270" s="13">
        <v>0</v>
      </c>
      <c r="O1270" s="15"/>
      <c r="P1270" s="6">
        <v>42178.48814814815</v>
      </c>
      <c r="Q1270" s="12"/>
      <c r="R1270" s="17" t="s">
        <v>4142</v>
      </c>
      <c r="S1270" s="12"/>
      <c r="T1270" s="12"/>
      <c r="U1270" s="10" t="str">
        <f>HYPERLINK("https://pbs.twimg.com/profile_images/613289424177233920/HUDUSyhe.jpg","View")</f>
        <v>View</v>
      </c>
    </row>
    <row r="1271" spans="1:21" ht="30.6">
      <c r="A1271" s="6">
        <v>43419.53087962963</v>
      </c>
      <c r="B1271" s="7" t="str">
        <f>HYPERLINK("https://twitter.com/ArdiTabardilla","@ArdiTabardilla")</f>
        <v>@ArdiTabardilla</v>
      </c>
      <c r="C1271" s="8" t="s">
        <v>5022</v>
      </c>
      <c r="D1271" s="9" t="s">
        <v>5023</v>
      </c>
      <c r="E1271" s="10" t="str">
        <f>HYPERLINK("https://twitter.com/ArdiTabardilla/status/1063034996267585536","1063034996267585536")</f>
        <v>1063034996267585536</v>
      </c>
      <c r="F1271" s="12"/>
      <c r="G1271" s="12"/>
      <c r="H1271" s="12"/>
      <c r="I1271" s="13">
        <v>0</v>
      </c>
      <c r="J1271" s="13">
        <v>0</v>
      </c>
      <c r="K1271" s="14" t="str">
        <f>HYPERLINK("https://mobile.twitter.com","Twitter Lite")</f>
        <v>Twitter Lite</v>
      </c>
      <c r="L1271" s="13">
        <v>303</v>
      </c>
      <c r="M1271" s="13">
        <v>524</v>
      </c>
      <c r="N1271" s="13">
        <v>1</v>
      </c>
      <c r="O1271" s="15"/>
      <c r="P1271" s="6">
        <v>42900.85564814815</v>
      </c>
      <c r="Q1271" s="16" t="s">
        <v>2483</v>
      </c>
      <c r="R1271" s="17" t="s">
        <v>5025</v>
      </c>
      <c r="S1271" s="12"/>
      <c r="T1271" s="12"/>
      <c r="U1271" s="10" t="str">
        <f>HYPERLINK("https://pbs.twimg.com/profile_images/875074783771336704/4046caBK.jpg","View")</f>
        <v>View</v>
      </c>
    </row>
    <row r="1272" spans="1:21" ht="51">
      <c r="A1272" s="6">
        <v>43419.528993055559</v>
      </c>
      <c r="B1272" s="7" t="str">
        <f>HYPERLINK("https://twitter.com/AiniApgg","@AiniApgg")</f>
        <v>@AiniApgg</v>
      </c>
      <c r="C1272" s="8" t="s">
        <v>4143</v>
      </c>
      <c r="D1272" s="9" t="s">
        <v>4144</v>
      </c>
      <c r="E1272" s="10" t="str">
        <f>HYPERLINK("https://twitter.com/AiniApgg/status/1063034315066478592","1063034315066478592")</f>
        <v>1063034315066478592</v>
      </c>
      <c r="F1272" s="12"/>
      <c r="G1272" s="12"/>
      <c r="H1272" s="12"/>
      <c r="I1272" s="13">
        <v>16</v>
      </c>
      <c r="J1272" s="13">
        <v>68</v>
      </c>
      <c r="K1272" s="14" t="str">
        <f t="shared" ref="K1272:K1274" si="345">HYPERLINK("http://twitter.com/download/android","Twitter for Android")</f>
        <v>Twitter for Android</v>
      </c>
      <c r="L1272" s="13">
        <v>6187</v>
      </c>
      <c r="M1272" s="13">
        <v>1925</v>
      </c>
      <c r="N1272" s="13">
        <v>93</v>
      </c>
      <c r="O1272" s="15"/>
      <c r="P1272" s="6">
        <v>40751.70685185185</v>
      </c>
      <c r="Q1272" s="16" t="s">
        <v>2674</v>
      </c>
      <c r="R1272" s="17" t="s">
        <v>4145</v>
      </c>
      <c r="S1272" s="11" t="s">
        <v>4146</v>
      </c>
      <c r="T1272" s="12"/>
      <c r="U1272" s="10" t="str">
        <f>HYPERLINK("https://pbs.twimg.com/profile_images/995983985435176960/7scQB3KO.jpg","View")</f>
        <v>View</v>
      </c>
    </row>
    <row r="1273" spans="1:21" ht="51">
      <c r="A1273" s="6">
        <v>43419.528217592597</v>
      </c>
      <c r="B1273" s="7" t="str">
        <f>HYPERLINK("https://twitter.com/Maria_Beatle","@Maria_Beatle")</f>
        <v>@Maria_Beatle</v>
      </c>
      <c r="C1273" s="8" t="s">
        <v>4148</v>
      </c>
      <c r="D1273" s="9" t="s">
        <v>4149</v>
      </c>
      <c r="E1273" s="10" t="str">
        <f>HYPERLINK("https://twitter.com/Maria_Beatle/status/1063034033788108800","1063034033788108800")</f>
        <v>1063034033788108800</v>
      </c>
      <c r="F1273" s="12"/>
      <c r="G1273" s="12"/>
      <c r="H1273" s="12"/>
      <c r="I1273" s="13">
        <v>2</v>
      </c>
      <c r="J1273" s="13">
        <v>6</v>
      </c>
      <c r="K1273" s="14" t="str">
        <f t="shared" si="345"/>
        <v>Twitter for Android</v>
      </c>
      <c r="L1273" s="13">
        <v>5415</v>
      </c>
      <c r="M1273" s="13">
        <v>4426</v>
      </c>
      <c r="N1273" s="13">
        <v>35</v>
      </c>
      <c r="O1273" s="15"/>
      <c r="P1273" s="6">
        <v>40968.767581018517</v>
      </c>
      <c r="Q1273" s="16" t="s">
        <v>4150</v>
      </c>
      <c r="R1273" s="17" t="s">
        <v>4151</v>
      </c>
      <c r="S1273" s="11" t="s">
        <v>4153</v>
      </c>
      <c r="T1273" s="12"/>
      <c r="U1273" s="10" t="str">
        <f>HYPERLINK("https://pbs.twimg.com/profile_images/1062907747086278656/c69h9LcR.jpg","View")</f>
        <v>View</v>
      </c>
    </row>
    <row r="1274" spans="1:21" ht="30.6">
      <c r="A1274" s="6">
        <v>43419.521689814814</v>
      </c>
      <c r="B1274" s="7" t="str">
        <f>HYPERLINK("https://twitter.com/Santi_ABASCAL","@Santi_ABASCAL")</f>
        <v>@Santi_ABASCAL</v>
      </c>
      <c r="C1274" s="8" t="s">
        <v>182</v>
      </c>
      <c r="D1274" s="9" t="s">
        <v>5029</v>
      </c>
      <c r="E1274" s="10" t="str">
        <f>HYPERLINK("https://twitter.com/Santi_ABASCAL/status/1063031669865832448","1063031669865832448")</f>
        <v>1063031669865832448</v>
      </c>
      <c r="F1274" s="12"/>
      <c r="G1274" s="11" t="s">
        <v>5030</v>
      </c>
      <c r="H1274" s="12"/>
      <c r="I1274" s="13">
        <v>275</v>
      </c>
      <c r="J1274" s="13">
        <v>529</v>
      </c>
      <c r="K1274" s="14" t="str">
        <f t="shared" si="345"/>
        <v>Twitter for Android</v>
      </c>
      <c r="L1274" s="13">
        <v>117602</v>
      </c>
      <c r="M1274" s="13">
        <v>3896</v>
      </c>
      <c r="N1274" s="13">
        <v>915</v>
      </c>
      <c r="O1274" s="23" t="s">
        <v>186</v>
      </c>
      <c r="P1274" s="6">
        <v>40606.716446759259</v>
      </c>
      <c r="Q1274" s="16" t="s">
        <v>188</v>
      </c>
      <c r="R1274" s="17" t="s">
        <v>189</v>
      </c>
      <c r="S1274" s="11" t="s">
        <v>190</v>
      </c>
      <c r="T1274" s="12"/>
      <c r="U1274" s="10" t="str">
        <f>HYPERLINK("https://pbs.twimg.com/profile_images/1010488787686879232/2CnqYKlD.jpg","View")</f>
        <v>View</v>
      </c>
    </row>
    <row r="1275" spans="1:21" ht="61.2">
      <c r="A1275" s="6">
        <v>43419.519803240742</v>
      </c>
      <c r="B1275" s="7" t="str">
        <f>HYPERLINK("https://twitter.com/Raullopezvaque2","@Raullopezvaque2")</f>
        <v>@Raullopezvaque2</v>
      </c>
      <c r="C1275" s="8" t="s">
        <v>4154</v>
      </c>
      <c r="D1275" s="9" t="s">
        <v>4155</v>
      </c>
      <c r="E1275" s="10" t="str">
        <f>HYPERLINK("https://twitter.com/Raullopezvaque2/status/1063030984118026241","1063030984118026241")</f>
        <v>1063030984118026241</v>
      </c>
      <c r="F1275" s="12"/>
      <c r="G1275" s="12"/>
      <c r="H1275" s="12"/>
      <c r="I1275" s="13">
        <v>0</v>
      </c>
      <c r="J1275" s="13">
        <v>0</v>
      </c>
      <c r="K1275" s="14" t="str">
        <f>HYPERLINK("http://twitter.com/download/iphone","Twitter for iPhone")</f>
        <v>Twitter for iPhone</v>
      </c>
      <c r="L1275" s="13">
        <v>12</v>
      </c>
      <c r="M1275" s="13">
        <v>195</v>
      </c>
      <c r="N1275" s="13">
        <v>0</v>
      </c>
      <c r="O1275" s="15"/>
      <c r="P1275" s="6">
        <v>43173.97556712963</v>
      </c>
      <c r="Q1275" s="12"/>
      <c r="R1275" s="21"/>
      <c r="S1275" s="12"/>
      <c r="T1275" s="12"/>
      <c r="U1275" s="10" t="str">
        <f>HYPERLINK("https://pbs.twimg.com/profile_images/1046125702150541313/u0KzLOvV.jpg","View")</f>
        <v>View</v>
      </c>
    </row>
    <row r="1276" spans="1:21" ht="40.799999999999997">
      <c r="A1276" s="6">
        <v>43419.519780092596</v>
      </c>
      <c r="B1276" s="7" t="str">
        <f>HYPERLINK("https://twitter.com/dani75piscis","@dani75piscis")</f>
        <v>@dani75piscis</v>
      </c>
      <c r="C1276" s="8" t="s">
        <v>4156</v>
      </c>
      <c r="D1276" s="9" t="s">
        <v>4157</v>
      </c>
      <c r="E1276" s="10" t="str">
        <f>HYPERLINK("https://twitter.com/dani75piscis/status/1063030978019500033","1063030978019500033")</f>
        <v>1063030978019500033</v>
      </c>
      <c r="F1276" s="12"/>
      <c r="G1276" s="11" t="s">
        <v>4158</v>
      </c>
      <c r="H1276" s="12"/>
      <c r="I1276" s="13">
        <v>0</v>
      </c>
      <c r="J1276" s="13">
        <v>0</v>
      </c>
      <c r="K1276" s="14" t="str">
        <f>HYPERLINK("http://twitter.com/download/android","Twitter for Android")</f>
        <v>Twitter for Android</v>
      </c>
      <c r="L1276" s="13">
        <v>1175</v>
      </c>
      <c r="M1276" s="13">
        <v>657</v>
      </c>
      <c r="N1276" s="13">
        <v>7</v>
      </c>
      <c r="O1276" s="15"/>
      <c r="P1276" s="6">
        <v>41118.559930555552</v>
      </c>
      <c r="Q1276" s="12"/>
      <c r="R1276" s="17" t="s">
        <v>4159</v>
      </c>
      <c r="S1276" s="12"/>
      <c r="T1276" s="12"/>
      <c r="U1276" s="10" t="str">
        <f>HYPERLINK("https://pbs.twimg.com/profile_images/982973906674966528/hXEUcOTV.jpg","View")</f>
        <v>View</v>
      </c>
    </row>
    <row r="1277" spans="1:21" ht="40.799999999999997">
      <c r="A1277" s="6">
        <v>43419.514097222222</v>
      </c>
      <c r="B1277" s="7" t="str">
        <f>HYPERLINK("https://twitter.com/JuanitoCabeza","@JuanitoCabeza")</f>
        <v>@JuanitoCabeza</v>
      </c>
      <c r="C1277" s="8" t="s">
        <v>4160</v>
      </c>
      <c r="D1277" s="9" t="s">
        <v>4161</v>
      </c>
      <c r="E1277" s="10" t="str">
        <f>HYPERLINK("https://twitter.com/JuanitoCabeza/status/1063028917685182465","1063028917685182465")</f>
        <v>1063028917685182465</v>
      </c>
      <c r="F1277" s="11" t="s">
        <v>4162</v>
      </c>
      <c r="G1277" s="12"/>
      <c r="H1277" s="12"/>
      <c r="I1277" s="13">
        <v>1</v>
      </c>
      <c r="J1277" s="13">
        <v>0</v>
      </c>
      <c r="K1277" s="14" t="str">
        <f>HYPERLINK("https://mobile.twitter.com","Twitter Lite")</f>
        <v>Twitter Lite</v>
      </c>
      <c r="L1277" s="13">
        <v>88</v>
      </c>
      <c r="M1277" s="13">
        <v>80</v>
      </c>
      <c r="N1277" s="13">
        <v>2</v>
      </c>
      <c r="O1277" s="15"/>
      <c r="P1277" s="6">
        <v>42761.532199074078</v>
      </c>
      <c r="Q1277" s="16" t="s">
        <v>1204</v>
      </c>
      <c r="R1277" s="17" t="s">
        <v>4163</v>
      </c>
      <c r="S1277" s="12"/>
      <c r="T1277" s="12"/>
      <c r="U1277" s="10" t="str">
        <f>HYPERLINK("https://pbs.twimg.com/profile_images/824972071864262657/Ar3uv-dg.jpg","View")</f>
        <v>View</v>
      </c>
    </row>
    <row r="1278" spans="1:21" ht="30.6">
      <c r="A1278" s="6">
        <v>43419.511793981481</v>
      </c>
      <c r="B1278" s="7" t="str">
        <f>HYPERLINK("https://twitter.com/diariolaopinion","@diariolaopinion")</f>
        <v>@diariolaopinion</v>
      </c>
      <c r="C1278" s="8" t="s">
        <v>3900</v>
      </c>
      <c r="D1278" s="9" t="s">
        <v>3940</v>
      </c>
      <c r="E1278" s="10" t="str">
        <f>HYPERLINK("https://twitter.com/diariolaopinion/status/1063028082662141952","1063028082662141952")</f>
        <v>1063028082662141952</v>
      </c>
      <c r="F1278" s="11" t="s">
        <v>3942</v>
      </c>
      <c r="G1278" s="12"/>
      <c r="H1278" s="12"/>
      <c r="I1278" s="13">
        <v>0</v>
      </c>
      <c r="J1278" s="13">
        <v>4</v>
      </c>
      <c r="K1278" s="14" t="str">
        <f>HYPERLINK("http://twitter.com","Twitter Web Client")</f>
        <v>Twitter Web Client</v>
      </c>
      <c r="L1278" s="13">
        <v>119887</v>
      </c>
      <c r="M1278" s="13">
        <v>1379</v>
      </c>
      <c r="N1278" s="13">
        <v>943</v>
      </c>
      <c r="O1278" s="23" t="s">
        <v>186</v>
      </c>
      <c r="P1278" s="6">
        <v>40273.898692129631</v>
      </c>
      <c r="Q1278" s="16" t="s">
        <v>3905</v>
      </c>
      <c r="R1278" s="17" t="s">
        <v>3906</v>
      </c>
      <c r="S1278" s="11" t="s">
        <v>3907</v>
      </c>
      <c r="T1278" s="12"/>
      <c r="U1278" s="10" t="str">
        <f>HYPERLINK("https://pbs.twimg.com/profile_images/948983253708476416/8KUZQrUn.jpg","View")</f>
        <v>View</v>
      </c>
    </row>
    <row r="1279" spans="1:21" ht="51">
      <c r="A1279" s="6">
        <v>43419.510023148148</v>
      </c>
      <c r="B1279" s="7" t="str">
        <f>HYPERLINK("https://twitter.com/Alternativa_VOX","@Alternativa_VOX")</f>
        <v>@Alternativa_VOX</v>
      </c>
      <c r="C1279" s="8" t="s">
        <v>977</v>
      </c>
      <c r="D1279" s="9" t="s">
        <v>4164</v>
      </c>
      <c r="E1279" s="10" t="str">
        <f>HYPERLINK("https://twitter.com/Alternativa_VOX/status/1063027439889248256","1063027439889248256")</f>
        <v>1063027439889248256</v>
      </c>
      <c r="F1279" s="12"/>
      <c r="G1279" s="11" t="s">
        <v>4165</v>
      </c>
      <c r="H1279" s="12"/>
      <c r="I1279" s="13">
        <v>165</v>
      </c>
      <c r="J1279" s="13">
        <v>271</v>
      </c>
      <c r="K1279" s="14" t="str">
        <f>HYPERLINK("http://twitter.com/download/iphone","Twitter for iPhone")</f>
        <v>Twitter for iPhone</v>
      </c>
      <c r="L1279" s="13">
        <v>14295</v>
      </c>
      <c r="M1279" s="13">
        <v>2342</v>
      </c>
      <c r="N1279" s="13">
        <v>63</v>
      </c>
      <c r="O1279" s="15"/>
      <c r="P1279" s="6">
        <v>42414.677303240736</v>
      </c>
      <c r="Q1279" s="12"/>
      <c r="R1279" s="17" t="s">
        <v>981</v>
      </c>
      <c r="S1279" s="12"/>
      <c r="T1279" s="12"/>
      <c r="U1279" s="10" t="str">
        <f>HYPERLINK("https://pbs.twimg.com/profile_images/1054080233844936705/IYgqsUMs.jpg","View")</f>
        <v>View</v>
      </c>
    </row>
    <row r="1280" spans="1:21" ht="51">
      <c r="A1280" s="6">
        <v>43419.509756944448</v>
      </c>
      <c r="B1280" s="7" t="str">
        <f>HYPERLINK("https://twitter.com/Duelelab","@Duelelab")</f>
        <v>@Duelelab</v>
      </c>
      <c r="C1280" s="8" t="s">
        <v>1254</v>
      </c>
      <c r="D1280" s="9" t="s">
        <v>4166</v>
      </c>
      <c r="E1280" s="10" t="str">
        <f>HYPERLINK("https://twitter.com/Duelelab/status/1063027344368111617","1063027344368111617")</f>
        <v>1063027344368111617</v>
      </c>
      <c r="F1280" s="12"/>
      <c r="G1280" s="12"/>
      <c r="H1280" s="12"/>
      <c r="I1280" s="13">
        <v>1829</v>
      </c>
      <c r="J1280" s="13">
        <v>3191</v>
      </c>
      <c r="K1280" s="14" t="str">
        <f>HYPERLINK("http://twitter.com/download/android","Twitter for Android")</f>
        <v>Twitter for Android</v>
      </c>
      <c r="L1280" s="13">
        <v>10113</v>
      </c>
      <c r="M1280" s="13">
        <v>3422</v>
      </c>
      <c r="N1280" s="13">
        <v>104</v>
      </c>
      <c r="O1280" s="15"/>
      <c r="P1280" s="6">
        <v>41830.764004629629</v>
      </c>
      <c r="Q1280" s="12"/>
      <c r="R1280" s="17" t="s">
        <v>1256</v>
      </c>
      <c r="S1280" s="12"/>
      <c r="T1280" s="12"/>
      <c r="U1280" s="10" t="str">
        <f>HYPERLINK("https://pbs.twimg.com/profile_images/914050990097223680/V25T08jL.jpg","View")</f>
        <v>View</v>
      </c>
    </row>
    <row r="1281" spans="1:21" ht="51">
      <c r="A1281" s="6">
        <v>43419.505543981482</v>
      </c>
      <c r="B1281" s="7" t="str">
        <f>HYPERLINK("https://twitter.com/ikuslecom","@ikuslecom")</f>
        <v>@ikuslecom</v>
      </c>
      <c r="C1281" s="8" t="s">
        <v>628</v>
      </c>
      <c r="D1281" s="9" t="s">
        <v>4167</v>
      </c>
      <c r="E1281" s="10" t="str">
        <f>HYPERLINK("https://twitter.com/ikuslecom/status/1063025817104646144","1063025817104646144")</f>
        <v>1063025817104646144</v>
      </c>
      <c r="F1281" s="11" t="s">
        <v>4168</v>
      </c>
      <c r="G1281" s="12"/>
      <c r="H1281" s="12"/>
      <c r="I1281" s="13">
        <v>0</v>
      </c>
      <c r="J1281" s="13">
        <v>0</v>
      </c>
      <c r="K1281" s="14" t="str">
        <f>HYPERLINK("http://twitter.com","Twitter Web Client")</f>
        <v>Twitter Web Client</v>
      </c>
      <c r="L1281" s="13">
        <v>5280</v>
      </c>
      <c r="M1281" s="13">
        <v>210</v>
      </c>
      <c r="N1281" s="13">
        <v>111</v>
      </c>
      <c r="O1281" s="15"/>
      <c r="P1281" s="6">
        <v>41276.656909722224</v>
      </c>
      <c r="Q1281" s="16" t="s">
        <v>631</v>
      </c>
      <c r="R1281" s="17" t="s">
        <v>632</v>
      </c>
      <c r="S1281" s="11" t="s">
        <v>633</v>
      </c>
      <c r="T1281" s="12"/>
      <c r="U1281" s="10" t="str">
        <f>HYPERLINK("https://pbs.twimg.com/profile_images/961194049054105600/ojU0SumC.jpg","View")</f>
        <v>View</v>
      </c>
    </row>
    <row r="1282" spans="1:21" ht="40.799999999999997">
      <c r="A1282" s="6">
        <v>43419.501388888893</v>
      </c>
      <c r="B1282" s="7" t="str">
        <f>HYPERLINK("https://twitter.com/bitMomentum","@bitMomentum")</f>
        <v>@bitMomentum</v>
      </c>
      <c r="C1282" s="8" t="s">
        <v>368</v>
      </c>
      <c r="D1282" s="9" t="s">
        <v>4169</v>
      </c>
      <c r="E1282" s="10" t="str">
        <f>HYPERLINK("https://twitter.com/bitMomentum/status/1063024309906612224","1063024309906612224")</f>
        <v>1063024309906612224</v>
      </c>
      <c r="F1282" s="12"/>
      <c r="G1282" s="12"/>
      <c r="H1282" s="12"/>
      <c r="I1282" s="13">
        <v>0</v>
      </c>
      <c r="J1282" s="13">
        <v>0</v>
      </c>
      <c r="K1282" s="14" t="str">
        <f>HYPERLINK("http://www.bitmomentum.com","bitMomentum Bot")</f>
        <v>bitMomentum Bot</v>
      </c>
      <c r="L1282" s="13">
        <v>10132</v>
      </c>
      <c r="M1282" s="13">
        <v>1060</v>
      </c>
      <c r="N1282" s="13">
        <v>267</v>
      </c>
      <c r="O1282" s="15"/>
      <c r="P1282" s="6">
        <v>41608.667511574073</v>
      </c>
      <c r="Q1282" s="12"/>
      <c r="R1282" s="17" t="s">
        <v>371</v>
      </c>
      <c r="S1282" s="11" t="s">
        <v>372</v>
      </c>
      <c r="T1282" s="12"/>
      <c r="U1282" s="10" t="str">
        <f>HYPERLINK("https://pbs.twimg.com/profile_images/378800000862185241/20ij2H3u.png","View")</f>
        <v>View</v>
      </c>
    </row>
    <row r="1283" spans="1:21" ht="61.2">
      <c r="A1283" s="6">
        <v>43419.499282407407</v>
      </c>
      <c r="B1283" s="7" t="str">
        <f>HYPERLINK("https://twitter.com/RaPiqFu","@RaPiqFu")</f>
        <v>@RaPiqFu</v>
      </c>
      <c r="C1283" s="8" t="s">
        <v>1029</v>
      </c>
      <c r="D1283" s="9" t="s">
        <v>4170</v>
      </c>
      <c r="E1283" s="10" t="str">
        <f>HYPERLINK("https://twitter.com/RaPiqFu/status/1063023546908270592","1063023546908270592")</f>
        <v>1063023546908270592</v>
      </c>
      <c r="F1283" s="12"/>
      <c r="G1283" s="12"/>
      <c r="H1283" s="12"/>
      <c r="I1283" s="13">
        <v>1</v>
      </c>
      <c r="J1283" s="13">
        <v>2</v>
      </c>
      <c r="K1283" s="14" t="str">
        <f t="shared" ref="K1283:K1284" si="346">HYPERLINK("http://twitter.com/download/android","Twitter for Android")</f>
        <v>Twitter for Android</v>
      </c>
      <c r="L1283" s="13">
        <v>1578</v>
      </c>
      <c r="M1283" s="13">
        <v>808</v>
      </c>
      <c r="N1283" s="13">
        <v>21</v>
      </c>
      <c r="O1283" s="15"/>
      <c r="P1283" s="6">
        <v>40595.905127314814</v>
      </c>
      <c r="Q1283" s="16" t="s">
        <v>953</v>
      </c>
      <c r="R1283" s="17" t="s">
        <v>1031</v>
      </c>
      <c r="S1283" s="12"/>
      <c r="T1283" s="12"/>
      <c r="U1283" s="10" t="str">
        <f>HYPERLINK("https://pbs.twimg.com/profile_images/1059362479975923713/VEYq9v5X.jpg","View")</f>
        <v>View</v>
      </c>
    </row>
    <row r="1284" spans="1:21" ht="40.799999999999997">
      <c r="A1284" s="6">
        <v>43419.491226851853</v>
      </c>
      <c r="B1284" s="7" t="str">
        <f>HYPERLINK("https://twitter.com/conelmazo_dando","@conelmazo_dando")</f>
        <v>@conelmazo_dando</v>
      </c>
      <c r="C1284" s="8" t="s">
        <v>3442</v>
      </c>
      <c r="D1284" s="9" t="s">
        <v>4173</v>
      </c>
      <c r="E1284" s="10" t="str">
        <f>HYPERLINK("https://twitter.com/conelmazo_dando/status/1063020629270675456","1063020629270675456")</f>
        <v>1063020629270675456</v>
      </c>
      <c r="F1284" s="12"/>
      <c r="G1284" s="11" t="s">
        <v>4174</v>
      </c>
      <c r="H1284" s="12"/>
      <c r="I1284" s="13">
        <v>0</v>
      </c>
      <c r="J1284" s="13">
        <v>1</v>
      </c>
      <c r="K1284" s="14" t="str">
        <f t="shared" si="346"/>
        <v>Twitter for Android</v>
      </c>
      <c r="L1284" s="13">
        <v>8610</v>
      </c>
      <c r="M1284" s="13">
        <v>4203</v>
      </c>
      <c r="N1284" s="13">
        <v>98</v>
      </c>
      <c r="O1284" s="15"/>
      <c r="P1284" s="6">
        <v>41183.361620370371</v>
      </c>
      <c r="Q1284" s="12"/>
      <c r="R1284" s="17" t="s">
        <v>3444</v>
      </c>
      <c r="S1284" s="11" t="s">
        <v>3445</v>
      </c>
      <c r="T1284" s="12"/>
      <c r="U1284" s="10" t="str">
        <f>HYPERLINK("https://pbs.twimg.com/profile_images/953370765386289152/b1UBatx8.jpg","View")</f>
        <v>View</v>
      </c>
    </row>
    <row r="1285" spans="1:21" ht="112.2">
      <c r="A1285" s="6">
        <v>43419.484039351853</v>
      </c>
      <c r="B1285" s="7" t="str">
        <f>HYPERLINK("https://twitter.com/ElDoctorMabuse","@ElDoctorMabuse")</f>
        <v>@ElDoctorMabuse</v>
      </c>
      <c r="C1285" s="8" t="s">
        <v>1122</v>
      </c>
      <c r="D1285" s="9" t="s">
        <v>4175</v>
      </c>
      <c r="E1285" s="10" t="str">
        <f>HYPERLINK("https://twitter.com/ElDoctorMabuse/status/1063018022129012736","1063018022129012736")</f>
        <v>1063018022129012736</v>
      </c>
      <c r="F1285" s="16" t="s">
        <v>4176</v>
      </c>
      <c r="G1285" s="12"/>
      <c r="H1285" s="12"/>
      <c r="I1285" s="13">
        <v>0</v>
      </c>
      <c r="J1285" s="13">
        <v>0</v>
      </c>
      <c r="K1285" s="14" t="str">
        <f>HYPERLINK("http://twitter.com/#!/download/ipad","Twitter for iPad")</f>
        <v>Twitter for iPad</v>
      </c>
      <c r="L1285" s="13">
        <v>243</v>
      </c>
      <c r="M1285" s="13">
        <v>535</v>
      </c>
      <c r="N1285" s="13">
        <v>11</v>
      </c>
      <c r="O1285" s="15"/>
      <c r="P1285" s="6">
        <v>40273.293067129627</v>
      </c>
      <c r="Q1285" s="16" t="s">
        <v>1126</v>
      </c>
      <c r="R1285" s="17" t="s">
        <v>1127</v>
      </c>
      <c r="S1285" s="11" t="s">
        <v>1128</v>
      </c>
      <c r="T1285" s="12"/>
      <c r="U1285" s="10" t="str">
        <f>HYPERLINK("https://pbs.twimg.com/profile_images/442391428069879808/46XrmQAl.jpeg","View")</f>
        <v>View</v>
      </c>
    </row>
    <row r="1286" spans="1:21" ht="51">
      <c r="A1286" s="6">
        <v>43419.481030092589</v>
      </c>
      <c r="B1286" s="7" t="str">
        <f>HYPERLINK("https://twitter.com/Mirando_alCielo","@Mirando_alCielo")</f>
        <v>@Mirando_alCielo</v>
      </c>
      <c r="C1286" s="8" t="s">
        <v>4178</v>
      </c>
      <c r="D1286" s="9" t="s">
        <v>4179</v>
      </c>
      <c r="E1286" s="10" t="str">
        <f>HYPERLINK("https://twitter.com/Mirando_alCielo/status/1063016931756855296","1063016931756855296")</f>
        <v>1063016931756855296</v>
      </c>
      <c r="F1286" s="12"/>
      <c r="G1286" s="12"/>
      <c r="H1286" s="12"/>
      <c r="I1286" s="13">
        <v>0</v>
      </c>
      <c r="J1286" s="13">
        <v>0</v>
      </c>
      <c r="K1286" s="14" t="str">
        <f t="shared" ref="K1286:K1290" si="347">HYPERLINK("http://twitter.com/download/android","Twitter for Android")</f>
        <v>Twitter for Android</v>
      </c>
      <c r="L1286" s="13">
        <v>1107</v>
      </c>
      <c r="M1286" s="13">
        <v>1065</v>
      </c>
      <c r="N1286" s="13">
        <v>19</v>
      </c>
      <c r="O1286" s="15"/>
      <c r="P1286" s="6">
        <v>40966.898101851853</v>
      </c>
      <c r="Q1286" s="16" t="s">
        <v>104</v>
      </c>
      <c r="R1286" s="17" t="s">
        <v>4180</v>
      </c>
      <c r="S1286" s="12"/>
      <c r="T1286" s="12"/>
      <c r="U1286" s="10" t="str">
        <f>HYPERLINK("https://pbs.twimg.com/profile_images/2087228850/dibujo_y_decoracion_y_jordi_y_labanda_1_.jpg","View")</f>
        <v>View</v>
      </c>
    </row>
    <row r="1287" spans="1:21" ht="30.6">
      <c r="A1287" s="6">
        <v>43419.479537037041</v>
      </c>
      <c r="B1287" s="7" t="str">
        <f>HYPERLINK("https://twitter.com/MARIAPerezFern","@MARIAPerezFern")</f>
        <v>@MARIAPerezFern</v>
      </c>
      <c r="C1287" s="8" t="s">
        <v>4183</v>
      </c>
      <c r="D1287" s="9" t="s">
        <v>4184</v>
      </c>
      <c r="E1287" s="10" t="str">
        <f>HYPERLINK("https://twitter.com/MARIAPerezFern/status/1063016393816395781","1063016393816395781")</f>
        <v>1063016393816395781</v>
      </c>
      <c r="F1287" s="12"/>
      <c r="G1287" s="11" t="s">
        <v>4185</v>
      </c>
      <c r="H1287" s="12"/>
      <c r="I1287" s="13">
        <v>2</v>
      </c>
      <c r="J1287" s="13">
        <v>3</v>
      </c>
      <c r="K1287" s="14" t="str">
        <f t="shared" si="347"/>
        <v>Twitter for Android</v>
      </c>
      <c r="L1287" s="13">
        <v>2161</v>
      </c>
      <c r="M1287" s="13">
        <v>2207</v>
      </c>
      <c r="N1287" s="13">
        <v>33</v>
      </c>
      <c r="O1287" s="15"/>
      <c r="P1287" s="6">
        <v>41458.632418981484</v>
      </c>
      <c r="Q1287" s="16" t="s">
        <v>2926</v>
      </c>
      <c r="R1287" s="17" t="s">
        <v>4187</v>
      </c>
      <c r="S1287" s="12"/>
      <c r="T1287" s="12"/>
      <c r="U1287" s="10" t="str">
        <f>HYPERLINK("https://pbs.twimg.com/profile_images/1062830273992318976/xCF0muOM.jpg","View")</f>
        <v>View</v>
      </c>
    </row>
    <row r="1288" spans="1:21" ht="30.6">
      <c r="A1288" s="6">
        <v>43419.474189814813</v>
      </c>
      <c r="B1288" s="7" t="str">
        <f>HYPERLINK("https://twitter.com/alvaromlg1993","@alvaromlg1993")</f>
        <v>@alvaromlg1993</v>
      </c>
      <c r="C1288" s="8" t="s">
        <v>2590</v>
      </c>
      <c r="D1288" s="9" t="s">
        <v>4188</v>
      </c>
      <c r="E1288" s="10" t="str">
        <f>HYPERLINK("https://twitter.com/alvaromlg1993/status/1063014454902824960","1063014454902824960")</f>
        <v>1063014454902824960</v>
      </c>
      <c r="F1288" s="12"/>
      <c r="G1288" s="11" t="s">
        <v>4189</v>
      </c>
      <c r="H1288" s="12"/>
      <c r="I1288" s="13">
        <v>2</v>
      </c>
      <c r="J1288" s="13">
        <v>6</v>
      </c>
      <c r="K1288" s="14" t="str">
        <f t="shared" si="347"/>
        <v>Twitter for Android</v>
      </c>
      <c r="L1288" s="13">
        <v>66</v>
      </c>
      <c r="M1288" s="13">
        <v>73</v>
      </c>
      <c r="N1288" s="13">
        <v>0</v>
      </c>
      <c r="O1288" s="15"/>
      <c r="P1288" s="6">
        <v>43394.524618055555</v>
      </c>
      <c r="Q1288" s="16" t="s">
        <v>1677</v>
      </c>
      <c r="R1288" s="17" t="s">
        <v>2593</v>
      </c>
      <c r="S1288" s="12"/>
      <c r="T1288" s="12"/>
      <c r="U1288" s="10" t="str">
        <f>HYPERLINK("https://pbs.twimg.com/profile_images/1054493312902725632/_3CLPUGZ.jpg","View")</f>
        <v>View</v>
      </c>
    </row>
    <row r="1289" spans="1:21" ht="71.400000000000006">
      <c r="A1289" s="6">
        <v>43419.471689814818</v>
      </c>
      <c r="B1289" s="7" t="str">
        <f>HYPERLINK("https://twitter.com/CarlosJ58563305","@CarlosJ58563305")</f>
        <v>@CarlosJ58563305</v>
      </c>
      <c r="C1289" s="8" t="s">
        <v>1507</v>
      </c>
      <c r="D1289" s="9" t="s">
        <v>4190</v>
      </c>
      <c r="E1289" s="10" t="str">
        <f>HYPERLINK("https://twitter.com/CarlosJ58563305/status/1063013548299874304","1063013548299874304")</f>
        <v>1063013548299874304</v>
      </c>
      <c r="F1289" s="11" t="s">
        <v>4191</v>
      </c>
      <c r="G1289" s="11" t="s">
        <v>3615</v>
      </c>
      <c r="H1289" s="12"/>
      <c r="I1289" s="13">
        <v>17</v>
      </c>
      <c r="J1289" s="13">
        <v>23</v>
      </c>
      <c r="K1289" s="14" t="str">
        <f t="shared" si="347"/>
        <v>Twitter for Android</v>
      </c>
      <c r="L1289" s="13">
        <v>1625</v>
      </c>
      <c r="M1289" s="13">
        <v>1729</v>
      </c>
      <c r="N1289" s="13">
        <v>9</v>
      </c>
      <c r="O1289" s="15"/>
      <c r="P1289" s="6">
        <v>43014.52344907407</v>
      </c>
      <c r="Q1289" s="16" t="s">
        <v>1510</v>
      </c>
      <c r="R1289" s="17" t="s">
        <v>1511</v>
      </c>
      <c r="S1289" s="12"/>
      <c r="T1289" s="12"/>
      <c r="U1289" s="10" t="str">
        <f>HYPERLINK("https://pbs.twimg.com/profile_images/1006094968476307456/KUz5auu2.jpg","View")</f>
        <v>View</v>
      </c>
    </row>
    <row r="1290" spans="1:21" ht="40.799999999999997">
      <c r="A1290" s="6">
        <v>43419.469814814816</v>
      </c>
      <c r="B1290" s="7" t="str">
        <f>HYPERLINK("https://twitter.com/EDUARDSERRA11","@EDUARDSERRA11")</f>
        <v>@EDUARDSERRA11</v>
      </c>
      <c r="C1290" s="8" t="s">
        <v>4193</v>
      </c>
      <c r="D1290" s="9" t="s">
        <v>4194</v>
      </c>
      <c r="E1290" s="10" t="str">
        <f>HYPERLINK("https://twitter.com/EDUARDSERRA11/status/1063012867836919808","1063012867836919808")</f>
        <v>1063012867836919808</v>
      </c>
      <c r="F1290" s="12"/>
      <c r="G1290" s="11" t="s">
        <v>4196</v>
      </c>
      <c r="H1290" s="12"/>
      <c r="I1290" s="13">
        <v>3</v>
      </c>
      <c r="J1290" s="13">
        <v>1</v>
      </c>
      <c r="K1290" s="14" t="str">
        <f t="shared" si="347"/>
        <v>Twitter for Android</v>
      </c>
      <c r="L1290" s="13">
        <v>117</v>
      </c>
      <c r="M1290" s="13">
        <v>133</v>
      </c>
      <c r="N1290" s="13">
        <v>0</v>
      </c>
      <c r="O1290" s="15"/>
      <c r="P1290" s="6">
        <v>43016.812824074077</v>
      </c>
      <c r="Q1290" s="12"/>
      <c r="R1290" s="21"/>
      <c r="S1290" s="12"/>
      <c r="T1290" s="12"/>
      <c r="U1290" s="10" t="str">
        <f>HYPERLINK("https://pbs.twimg.com/profile_images/924049676185362433/6F1iTW3B.jpg","View")</f>
        <v>View</v>
      </c>
    </row>
    <row r="1291" spans="1:21" ht="51">
      <c r="A1291" s="6">
        <v>43419.459722222222</v>
      </c>
      <c r="B1291" s="7" t="str">
        <f>HYPERLINK("https://twitter.com/bitMomentum","@bitMomentum")</f>
        <v>@bitMomentum</v>
      </c>
      <c r="C1291" s="8" t="s">
        <v>368</v>
      </c>
      <c r="D1291" s="9" t="s">
        <v>4197</v>
      </c>
      <c r="E1291" s="10" t="str">
        <f>HYPERLINK("https://twitter.com/bitMomentum/status/1063009210508685312","1063009210508685312")</f>
        <v>1063009210508685312</v>
      </c>
      <c r="F1291" s="12"/>
      <c r="G1291" s="12"/>
      <c r="H1291" s="12"/>
      <c r="I1291" s="13">
        <v>0</v>
      </c>
      <c r="J1291" s="13">
        <v>0</v>
      </c>
      <c r="K1291" s="14" t="str">
        <f>HYPERLINK("http://www.bitmomentum.com","bitMomentum Bot")</f>
        <v>bitMomentum Bot</v>
      </c>
      <c r="L1291" s="13">
        <v>10132</v>
      </c>
      <c r="M1291" s="13">
        <v>1060</v>
      </c>
      <c r="N1291" s="13">
        <v>267</v>
      </c>
      <c r="O1291" s="15"/>
      <c r="P1291" s="6">
        <v>41608.667511574073</v>
      </c>
      <c r="Q1291" s="12"/>
      <c r="R1291" s="17" t="s">
        <v>371</v>
      </c>
      <c r="S1291" s="11" t="s">
        <v>372</v>
      </c>
      <c r="T1291" s="12"/>
      <c r="U1291" s="10" t="str">
        <f>HYPERLINK("https://pbs.twimg.com/profile_images/378800000862185241/20ij2H3u.png","View")</f>
        <v>View</v>
      </c>
    </row>
    <row r="1292" spans="1:21" ht="30.6">
      <c r="A1292" s="6">
        <v>43419.456712962958</v>
      </c>
      <c r="B1292" s="7" t="str">
        <f>HYPERLINK("https://twitter.com/carcelator","@carcelator")</f>
        <v>@carcelator</v>
      </c>
      <c r="C1292" s="8" t="s">
        <v>5077</v>
      </c>
      <c r="D1292" s="9" t="s">
        <v>5078</v>
      </c>
      <c r="E1292" s="10" t="str">
        <f>HYPERLINK("https://twitter.com/carcelator/status/1063008121394737152","1063008121394737152")</f>
        <v>1063008121394737152</v>
      </c>
      <c r="F1292" s="11" t="s">
        <v>4325</v>
      </c>
      <c r="G1292" s="12"/>
      <c r="H1292" s="12"/>
      <c r="I1292" s="13">
        <v>3</v>
      </c>
      <c r="J1292" s="13">
        <v>5</v>
      </c>
      <c r="K1292" s="14" t="str">
        <f>HYPERLINK("http://twitter.com/download/android","Twitter for Android")</f>
        <v>Twitter for Android</v>
      </c>
      <c r="L1292" s="13">
        <v>1080</v>
      </c>
      <c r="M1292" s="13">
        <v>979</v>
      </c>
      <c r="N1292" s="13">
        <v>0</v>
      </c>
      <c r="O1292" s="15"/>
      <c r="P1292" s="6">
        <v>43209.593599537038</v>
      </c>
      <c r="Q1292" s="16" t="s">
        <v>3143</v>
      </c>
      <c r="R1292" s="17" t="s">
        <v>5082</v>
      </c>
      <c r="S1292" s="12"/>
      <c r="T1292" s="12"/>
      <c r="U1292" s="10" t="str">
        <f>HYPERLINK("https://pbs.twimg.com/profile_images/1057562733988798464/NVHu_6Bc.jpg","View")</f>
        <v>View</v>
      </c>
    </row>
    <row r="1293" spans="1:21" ht="51">
      <c r="A1293" s="6">
        <v>43419.442106481481</v>
      </c>
      <c r="B1293" s="7" t="str">
        <f>HYPERLINK("https://twitter.com/corsario2525","@corsario2525")</f>
        <v>@corsario2525</v>
      </c>
      <c r="C1293" s="8" t="s">
        <v>4198</v>
      </c>
      <c r="D1293" s="9" t="s">
        <v>4199</v>
      </c>
      <c r="E1293" s="10" t="str">
        <f>HYPERLINK("https://twitter.com/corsario2525/status/1063002829776936960","1063002829776936960")</f>
        <v>1063002829776936960</v>
      </c>
      <c r="F1293" s="12"/>
      <c r="G1293" s="11" t="s">
        <v>4200</v>
      </c>
      <c r="H1293" s="12"/>
      <c r="I1293" s="13">
        <v>25</v>
      </c>
      <c r="J1293" s="13">
        <v>19</v>
      </c>
      <c r="K1293" s="14" t="str">
        <f>HYPERLINK("http://twitter.com","Twitter Web Client")</f>
        <v>Twitter Web Client</v>
      </c>
      <c r="L1293" s="13">
        <v>1267</v>
      </c>
      <c r="M1293" s="13">
        <v>1219</v>
      </c>
      <c r="N1293" s="13">
        <v>9</v>
      </c>
      <c r="O1293" s="15"/>
      <c r="P1293" s="6">
        <v>42229.739305555559</v>
      </c>
      <c r="Q1293" s="16" t="s">
        <v>4201</v>
      </c>
      <c r="R1293" s="17" t="s">
        <v>4202</v>
      </c>
      <c r="S1293" s="12"/>
      <c r="T1293" s="12"/>
      <c r="U1293" s="10" t="str">
        <f>HYPERLINK("https://pbs.twimg.com/profile_images/634390276245704704/K9Gwwfrd.jpg","View")</f>
        <v>View</v>
      </c>
    </row>
    <row r="1294" spans="1:21" ht="51">
      <c r="A1294" s="6">
        <v>43419.441909722227</v>
      </c>
      <c r="B1294" s="7" t="str">
        <f>HYPERLINK("https://twitter.com/AzoteCasta","@AzoteCasta")</f>
        <v>@AzoteCasta</v>
      </c>
      <c r="C1294" s="8" t="s">
        <v>117</v>
      </c>
      <c r="D1294" s="9" t="s">
        <v>4203</v>
      </c>
      <c r="E1294" s="10" t="str">
        <f>HYPERLINK("https://twitter.com/AzoteCasta/status/1063002756582162434","1063002756582162434")</f>
        <v>1063002756582162434</v>
      </c>
      <c r="F1294" s="11" t="s">
        <v>240</v>
      </c>
      <c r="G1294" s="12"/>
      <c r="H1294" s="12"/>
      <c r="I1294" s="13">
        <v>0</v>
      </c>
      <c r="J1294" s="13">
        <v>0</v>
      </c>
      <c r="K1294" s="14" t="str">
        <f t="shared" ref="K1294:K1297" si="348">HYPERLINK("http://twitter.com/download/android","Twitter for Android")</f>
        <v>Twitter for Android</v>
      </c>
      <c r="L1294" s="13">
        <v>3638</v>
      </c>
      <c r="M1294" s="13">
        <v>2743</v>
      </c>
      <c r="N1294" s="13">
        <v>63</v>
      </c>
      <c r="O1294" s="15"/>
      <c r="P1294" s="6">
        <v>41441.048819444448</v>
      </c>
      <c r="Q1294" s="16" t="s">
        <v>66</v>
      </c>
      <c r="R1294" s="17" t="s">
        <v>120</v>
      </c>
      <c r="S1294" s="12"/>
      <c r="T1294" s="12"/>
      <c r="U1294" s="10" t="str">
        <f>HYPERLINK("https://pbs.twimg.com/profile_images/1037474236691042309/9t-T1AZv.jpg","View")</f>
        <v>View</v>
      </c>
    </row>
    <row r="1295" spans="1:21" ht="51">
      <c r="A1295" s="6">
        <v>43419.430763888886</v>
      </c>
      <c r="B1295" s="7" t="str">
        <f>HYPERLINK("https://twitter.com/RaPiqFu","@RaPiqFu")</f>
        <v>@RaPiqFu</v>
      </c>
      <c r="C1295" s="8" t="s">
        <v>1029</v>
      </c>
      <c r="D1295" s="9" t="s">
        <v>4205</v>
      </c>
      <c r="E1295" s="10" t="str">
        <f>HYPERLINK("https://twitter.com/RaPiqFu/status/1062998718717267968","1062998718717267968")</f>
        <v>1062998718717267968</v>
      </c>
      <c r="F1295" s="12"/>
      <c r="G1295" s="12"/>
      <c r="H1295" s="12"/>
      <c r="I1295" s="13">
        <v>0</v>
      </c>
      <c r="J1295" s="13">
        <v>1</v>
      </c>
      <c r="K1295" s="14" t="str">
        <f t="shared" si="348"/>
        <v>Twitter for Android</v>
      </c>
      <c r="L1295" s="13">
        <v>1578</v>
      </c>
      <c r="M1295" s="13">
        <v>808</v>
      </c>
      <c r="N1295" s="13">
        <v>21</v>
      </c>
      <c r="O1295" s="15"/>
      <c r="P1295" s="6">
        <v>40595.905127314814</v>
      </c>
      <c r="Q1295" s="16" t="s">
        <v>953</v>
      </c>
      <c r="R1295" s="17" t="s">
        <v>1031</v>
      </c>
      <c r="S1295" s="12"/>
      <c r="T1295" s="12"/>
      <c r="U1295" s="10" t="str">
        <f>HYPERLINK("https://pbs.twimg.com/profile_images/1059362479975923713/VEYq9v5X.jpg","View")</f>
        <v>View</v>
      </c>
    </row>
    <row r="1296" spans="1:21" ht="40.799999999999997">
      <c r="A1296" s="6">
        <v>43419.430115740739</v>
      </c>
      <c r="B1296" s="7" t="str">
        <f>HYPERLINK("https://twitter.com/conelmazo_dando","@conelmazo_dando")</f>
        <v>@conelmazo_dando</v>
      </c>
      <c r="C1296" s="8" t="s">
        <v>3442</v>
      </c>
      <c r="D1296" s="9" t="s">
        <v>4210</v>
      </c>
      <c r="E1296" s="10" t="str">
        <f>HYPERLINK("https://twitter.com/conelmazo_dando/status/1062998483437842437","1062998483437842437")</f>
        <v>1062998483437842437</v>
      </c>
      <c r="F1296" s="12"/>
      <c r="G1296" s="12"/>
      <c r="H1296" s="12"/>
      <c r="I1296" s="13">
        <v>1</v>
      </c>
      <c r="J1296" s="13">
        <v>0</v>
      </c>
      <c r="K1296" s="14" t="str">
        <f t="shared" si="348"/>
        <v>Twitter for Android</v>
      </c>
      <c r="L1296" s="13">
        <v>8610</v>
      </c>
      <c r="M1296" s="13">
        <v>4203</v>
      </c>
      <c r="N1296" s="13">
        <v>98</v>
      </c>
      <c r="O1296" s="15"/>
      <c r="P1296" s="6">
        <v>41183.361620370371</v>
      </c>
      <c r="Q1296" s="12"/>
      <c r="R1296" s="17" t="s">
        <v>3444</v>
      </c>
      <c r="S1296" s="11" t="s">
        <v>3445</v>
      </c>
      <c r="T1296" s="12"/>
      <c r="U1296" s="10" t="str">
        <f>HYPERLINK("https://pbs.twimg.com/profile_images/953370765386289152/b1UBatx8.jpg","View")</f>
        <v>View</v>
      </c>
    </row>
    <row r="1297" spans="1:21" ht="20.399999999999999">
      <c r="A1297" s="6">
        <v>43419.429490740746</v>
      </c>
      <c r="B1297" s="7" t="str">
        <f>HYPERLINK("https://twitter.com/soloviernes","@soloviernes")</f>
        <v>@soloviernes</v>
      </c>
      <c r="C1297" s="8" t="s">
        <v>5091</v>
      </c>
      <c r="D1297" s="9" t="s">
        <v>5092</v>
      </c>
      <c r="E1297" s="10" t="str">
        <f>HYPERLINK("https://twitter.com/soloviernes/status/1062998254747566080","1062998254747566080")</f>
        <v>1062998254747566080</v>
      </c>
      <c r="F1297" s="12"/>
      <c r="G1297" s="11" t="s">
        <v>5093</v>
      </c>
      <c r="H1297" s="12"/>
      <c r="I1297" s="13">
        <v>0</v>
      </c>
      <c r="J1297" s="13">
        <v>2</v>
      </c>
      <c r="K1297" s="14" t="str">
        <f t="shared" si="348"/>
        <v>Twitter for Android</v>
      </c>
      <c r="L1297" s="13">
        <v>48</v>
      </c>
      <c r="M1297" s="13">
        <v>144</v>
      </c>
      <c r="N1297" s="13">
        <v>0</v>
      </c>
      <c r="O1297" s="15"/>
      <c r="P1297" s="6">
        <v>43321.798368055555</v>
      </c>
      <c r="Q1297" s="16" t="s">
        <v>66</v>
      </c>
      <c r="R1297" s="17" t="s">
        <v>5094</v>
      </c>
      <c r="S1297" s="12"/>
      <c r="T1297" s="12"/>
      <c r="U1297" s="10" t="str">
        <f>HYPERLINK("https://pbs.twimg.com/profile_images/1065960133690298368/bht1UvXV.jpg","View")</f>
        <v>View</v>
      </c>
    </row>
    <row r="1298" spans="1:21" ht="30.6">
      <c r="A1298" s="6">
        <v>43419.424375000002</v>
      </c>
      <c r="B1298" s="7" t="str">
        <f>HYPERLINK("https://twitter.com/Denna12_0","@Denna12_0")</f>
        <v>@Denna12_0</v>
      </c>
      <c r="C1298" s="8" t="s">
        <v>203</v>
      </c>
      <c r="D1298" s="9" t="s">
        <v>4212</v>
      </c>
      <c r="E1298" s="10" t="str">
        <f>HYPERLINK("https://twitter.com/Denna12_0/status/1062996404107444225","1062996404107444225")</f>
        <v>1062996404107444225</v>
      </c>
      <c r="F1298" s="12"/>
      <c r="G1298" s="12"/>
      <c r="H1298" s="12"/>
      <c r="I1298" s="13">
        <v>0</v>
      </c>
      <c r="J1298" s="13">
        <v>0</v>
      </c>
      <c r="K1298" s="14" t="str">
        <f>HYPERLINK("http://twitter.com/download/iphone","Twitter for iPhone")</f>
        <v>Twitter for iPhone</v>
      </c>
      <c r="L1298" s="13">
        <v>747</v>
      </c>
      <c r="M1298" s="13">
        <v>497</v>
      </c>
      <c r="N1298" s="13">
        <v>2</v>
      </c>
      <c r="O1298" s="15"/>
      <c r="P1298" s="6">
        <v>43099.739201388889</v>
      </c>
      <c r="Q1298" s="16" t="s">
        <v>207</v>
      </c>
      <c r="R1298" s="17" t="s">
        <v>208</v>
      </c>
      <c r="S1298" s="12"/>
      <c r="T1298" s="12"/>
      <c r="U1298" s="10" t="str">
        <f>HYPERLINK("https://pbs.twimg.com/profile_images/1064284473083289601/0C4W63pS.jpg","View")</f>
        <v>View</v>
      </c>
    </row>
    <row r="1299" spans="1:21" ht="51">
      <c r="A1299" s="6">
        <v>43419.421018518522</v>
      </c>
      <c r="B1299" s="7" t="str">
        <f>HYPERLINK("https://twitter.com/fmartinave","@fmartinave")</f>
        <v>@fmartinave</v>
      </c>
      <c r="C1299" s="8" t="s">
        <v>4214</v>
      </c>
      <c r="D1299" s="9" t="s">
        <v>4215</v>
      </c>
      <c r="E1299" s="10" t="str">
        <f>HYPERLINK("https://twitter.com/fmartinave/status/1062995186899394560","1062995186899394560")</f>
        <v>1062995186899394560</v>
      </c>
      <c r="F1299" s="12"/>
      <c r="G1299" s="12"/>
      <c r="H1299" s="12"/>
      <c r="I1299" s="13">
        <v>0</v>
      </c>
      <c r="J1299" s="13">
        <v>0</v>
      </c>
      <c r="K1299" s="14" t="str">
        <f>HYPERLINK("http://twitter.com/download/android","Twitter for Android")</f>
        <v>Twitter for Android</v>
      </c>
      <c r="L1299" s="13">
        <v>532</v>
      </c>
      <c r="M1299" s="13">
        <v>494</v>
      </c>
      <c r="N1299" s="13">
        <v>5</v>
      </c>
      <c r="O1299" s="15"/>
      <c r="P1299" s="6">
        <v>40203.561643518522</v>
      </c>
      <c r="Q1299" s="16" t="s">
        <v>66</v>
      </c>
      <c r="R1299" s="17" t="s">
        <v>4216</v>
      </c>
      <c r="S1299" s="12"/>
      <c r="T1299" s="12"/>
      <c r="U1299" s="10" t="str">
        <f>HYPERLINK("https://pbs.twimg.com/profile_images/838003469546057728/m6RZgurg.jpg","View")</f>
        <v>View</v>
      </c>
    </row>
    <row r="1300" spans="1:21" ht="51">
      <c r="A1300" s="6">
        <v>43419.41805555555</v>
      </c>
      <c r="B1300" s="7" t="str">
        <f t="shared" ref="B1300:B1301" si="349">HYPERLINK("https://twitter.com/bitMomentum","@bitMomentum")</f>
        <v>@bitMomentum</v>
      </c>
      <c r="C1300" s="8" t="s">
        <v>368</v>
      </c>
      <c r="D1300" s="9" t="s">
        <v>4217</v>
      </c>
      <c r="E1300" s="10" t="str">
        <f>HYPERLINK("https://twitter.com/bitMomentum/status/1062994110972354560","1062994110972354560")</f>
        <v>1062994110972354560</v>
      </c>
      <c r="F1300" s="12"/>
      <c r="G1300" s="12"/>
      <c r="H1300" s="12"/>
      <c r="I1300" s="13">
        <v>0</v>
      </c>
      <c r="J1300" s="13">
        <v>0</v>
      </c>
      <c r="K1300" s="14" t="str">
        <f t="shared" ref="K1300:K1301" si="350">HYPERLINK("http://www.bitmomentum.com","bitMomentum Bot")</f>
        <v>bitMomentum Bot</v>
      </c>
      <c r="L1300" s="13">
        <v>10132</v>
      </c>
      <c r="M1300" s="13">
        <v>1060</v>
      </c>
      <c r="N1300" s="13">
        <v>267</v>
      </c>
      <c r="O1300" s="15"/>
      <c r="P1300" s="6">
        <v>41608.667511574073</v>
      </c>
      <c r="Q1300" s="12"/>
      <c r="R1300" s="17" t="s">
        <v>371</v>
      </c>
      <c r="S1300" s="11" t="s">
        <v>372</v>
      </c>
      <c r="T1300" s="12"/>
      <c r="U1300" s="10" t="str">
        <f t="shared" ref="U1300:U1301" si="351">HYPERLINK("https://pbs.twimg.com/profile_images/378800000862185241/20ij2H3u.png","View")</f>
        <v>View</v>
      </c>
    </row>
    <row r="1301" spans="1:21" ht="51">
      <c r="A1301" s="6">
        <v>43419.41805555555</v>
      </c>
      <c r="B1301" s="7" t="str">
        <f t="shared" si="349"/>
        <v>@bitMomentum</v>
      </c>
      <c r="C1301" s="8" t="s">
        <v>368</v>
      </c>
      <c r="D1301" s="9" t="s">
        <v>4218</v>
      </c>
      <c r="E1301" s="10" t="str">
        <f>HYPERLINK("https://twitter.com/bitMomentum/status/1062994110959808512","1062994110959808512")</f>
        <v>1062994110959808512</v>
      </c>
      <c r="F1301" s="12"/>
      <c r="G1301" s="12"/>
      <c r="H1301" s="12"/>
      <c r="I1301" s="13">
        <v>0</v>
      </c>
      <c r="J1301" s="13">
        <v>0</v>
      </c>
      <c r="K1301" s="14" t="str">
        <f t="shared" si="350"/>
        <v>bitMomentum Bot</v>
      </c>
      <c r="L1301" s="13">
        <v>10132</v>
      </c>
      <c r="M1301" s="13">
        <v>1060</v>
      </c>
      <c r="N1301" s="13">
        <v>267</v>
      </c>
      <c r="O1301" s="15"/>
      <c r="P1301" s="6">
        <v>41608.667511574073</v>
      </c>
      <c r="Q1301" s="12"/>
      <c r="R1301" s="17" t="s">
        <v>371</v>
      </c>
      <c r="S1301" s="11" t="s">
        <v>372</v>
      </c>
      <c r="T1301" s="12"/>
      <c r="U1301" s="10" t="str">
        <f t="shared" si="351"/>
        <v>View</v>
      </c>
    </row>
    <row r="1302" spans="1:21" ht="30.6">
      <c r="A1302" s="6">
        <v>43419.417696759258</v>
      </c>
      <c r="B1302" s="7" t="str">
        <f>HYPERLINK("https://twitter.com/ImTheSpecialOne","@ImTheSpecialOne")</f>
        <v>@ImTheSpecialOne</v>
      </c>
      <c r="C1302" s="8" t="s">
        <v>4219</v>
      </c>
      <c r="D1302" s="9" t="s">
        <v>4220</v>
      </c>
      <c r="E1302" s="10" t="str">
        <f>HYPERLINK("https://twitter.com/ImTheSpecialOne/status/1062993980697272320","1062993980697272320")</f>
        <v>1062993980697272320</v>
      </c>
      <c r="F1302" s="12"/>
      <c r="G1302" s="11" t="s">
        <v>4222</v>
      </c>
      <c r="H1302" s="12"/>
      <c r="I1302" s="13">
        <v>0</v>
      </c>
      <c r="J1302" s="13">
        <v>1</v>
      </c>
      <c r="K1302" s="14" t="str">
        <f t="shared" ref="K1302:K1303" si="352">HYPERLINK("http://twitter.com/download/iphone","Twitter for iPhone")</f>
        <v>Twitter for iPhone</v>
      </c>
      <c r="L1302" s="13">
        <v>349</v>
      </c>
      <c r="M1302" s="13">
        <v>461</v>
      </c>
      <c r="N1302" s="13">
        <v>11</v>
      </c>
      <c r="O1302" s="15"/>
      <c r="P1302" s="6">
        <v>40562.527789351851</v>
      </c>
      <c r="Q1302" s="12"/>
      <c r="R1302" s="17" t="s">
        <v>4225</v>
      </c>
      <c r="S1302" s="12"/>
      <c r="T1302" s="12"/>
      <c r="U1302" s="10" t="str">
        <f>HYPERLINK("https://pbs.twimg.com/profile_images/551712054357544960/oPE6mbug.jpeg","View")</f>
        <v>View</v>
      </c>
    </row>
    <row r="1303" spans="1:21" ht="20.399999999999999">
      <c r="A1303" s="6">
        <v>43419.416504629626</v>
      </c>
      <c r="B1303" s="7" t="str">
        <f>HYPERLINK("https://twitter.com/Sgt_Pepperss","@Sgt_Pepperss")</f>
        <v>@Sgt_Pepperss</v>
      </c>
      <c r="C1303" s="8" t="s">
        <v>4228</v>
      </c>
      <c r="D1303" s="9" t="s">
        <v>4229</v>
      </c>
      <c r="E1303" s="10" t="str">
        <f>HYPERLINK("https://twitter.com/Sgt_Pepperss/status/1062993550978269190","1062993550978269190")</f>
        <v>1062993550978269190</v>
      </c>
      <c r="F1303" s="12"/>
      <c r="G1303" s="11" t="s">
        <v>4230</v>
      </c>
      <c r="H1303" s="12"/>
      <c r="I1303" s="13">
        <v>14</v>
      </c>
      <c r="J1303" s="13">
        <v>32</v>
      </c>
      <c r="K1303" s="14" t="str">
        <f t="shared" si="352"/>
        <v>Twitter for iPhone</v>
      </c>
      <c r="L1303" s="13">
        <v>1021</v>
      </c>
      <c r="M1303" s="13">
        <v>1004</v>
      </c>
      <c r="N1303" s="13">
        <v>24</v>
      </c>
      <c r="O1303" s="15"/>
      <c r="P1303" s="6">
        <v>41731.804120370369</v>
      </c>
      <c r="Q1303" s="16" t="s">
        <v>1162</v>
      </c>
      <c r="R1303" s="17" t="s">
        <v>4231</v>
      </c>
      <c r="S1303" s="12"/>
      <c r="T1303" s="12"/>
      <c r="U1303" s="10" t="str">
        <f>HYPERLINK("https://pbs.twimg.com/profile_images/668573603055722496/rueNp44x.jpg","View")</f>
        <v>View</v>
      </c>
    </row>
    <row r="1304" spans="1:21" ht="30.6">
      <c r="A1304" s="6">
        <v>43419.406157407408</v>
      </c>
      <c r="B1304" s="7" t="str">
        <f>HYPERLINK("https://twitter.com/pepe_molero","@pepe_molero")</f>
        <v>@pepe_molero</v>
      </c>
      <c r="C1304" s="8" t="s">
        <v>4232</v>
      </c>
      <c r="D1304" s="9" t="s">
        <v>4233</v>
      </c>
      <c r="E1304" s="10" t="str">
        <f>HYPERLINK("https://twitter.com/pepe_molero/status/1062989802105114624","1062989802105114624")</f>
        <v>1062989802105114624</v>
      </c>
      <c r="F1304" s="11" t="s">
        <v>4235</v>
      </c>
      <c r="G1304" s="12"/>
      <c r="H1304" s="12"/>
      <c r="I1304" s="13">
        <v>0</v>
      </c>
      <c r="J1304" s="13">
        <v>0</v>
      </c>
      <c r="K1304" s="14" t="str">
        <f>HYPERLINK("http://twitter.com/download/android","Twitter for Android")</f>
        <v>Twitter for Android</v>
      </c>
      <c r="L1304" s="13">
        <v>106</v>
      </c>
      <c r="M1304" s="13">
        <v>83</v>
      </c>
      <c r="N1304" s="13">
        <v>0</v>
      </c>
      <c r="O1304" s="15"/>
      <c r="P1304" s="6">
        <v>40870.982546296298</v>
      </c>
      <c r="Q1304" s="12"/>
      <c r="R1304" s="17" t="s">
        <v>4236</v>
      </c>
      <c r="S1304" s="12"/>
      <c r="T1304" s="12"/>
      <c r="U1304" s="10" t="str">
        <f>HYPERLINK("https://pbs.twimg.com/profile_images/723049721460363264/ovXvXAET.jpg","View")</f>
        <v>View</v>
      </c>
    </row>
    <row r="1305" spans="1:21" ht="51">
      <c r="A1305" s="6">
        <v>43419.403148148151</v>
      </c>
      <c r="B1305" s="7" t="str">
        <f>HYPERLINK("https://twitter.com/PasoDeTi3","@PasoDeTi3")</f>
        <v>@PasoDeTi3</v>
      </c>
      <c r="C1305" s="8" t="s">
        <v>4237</v>
      </c>
      <c r="D1305" s="9" t="s">
        <v>4238</v>
      </c>
      <c r="E1305" s="10" t="str">
        <f>HYPERLINK("https://twitter.com/PasoDeTi3/status/1062988709426094080","1062988709426094080")</f>
        <v>1062988709426094080</v>
      </c>
      <c r="F1305" s="12"/>
      <c r="G1305" s="11" t="s">
        <v>4239</v>
      </c>
      <c r="H1305" s="12"/>
      <c r="I1305" s="13">
        <v>0</v>
      </c>
      <c r="J1305" s="13">
        <v>0</v>
      </c>
      <c r="K1305" s="14" t="str">
        <f>HYPERLINK("http://twitter.com","Twitter Web Client")</f>
        <v>Twitter Web Client</v>
      </c>
      <c r="L1305" s="13">
        <v>34</v>
      </c>
      <c r="M1305" s="13">
        <v>84</v>
      </c>
      <c r="N1305" s="13">
        <v>0</v>
      </c>
      <c r="O1305" s="15"/>
      <c r="P1305" s="6">
        <v>43230.667962962965</v>
      </c>
      <c r="Q1305" s="12"/>
      <c r="R1305" s="21"/>
      <c r="S1305" s="12"/>
      <c r="T1305" s="12"/>
      <c r="U1305" s="10" t="str">
        <f>HYPERLINK("https://pbs.twimg.com/profile_images/994590867452235777/UrYwIw16.jpg","View")</f>
        <v>View</v>
      </c>
    </row>
    <row r="1306" spans="1:21" ht="61.2">
      <c r="A1306" s="6">
        <v>43419.398587962962</v>
      </c>
      <c r="B1306" s="7" t="str">
        <f>HYPERLINK("https://twitter.com/Libertaria_V","@Libertaria_V")</f>
        <v>@Libertaria_V</v>
      </c>
      <c r="C1306" s="8" t="s">
        <v>4034</v>
      </c>
      <c r="D1306" s="9" t="s">
        <v>4240</v>
      </c>
      <c r="E1306" s="10" t="str">
        <f>HYPERLINK("https://twitter.com/Libertaria_V/status/1062987056517922816","1062987056517922816")</f>
        <v>1062987056517922816</v>
      </c>
      <c r="F1306" s="12"/>
      <c r="G1306" s="12"/>
      <c r="H1306" s="12"/>
      <c r="I1306" s="13">
        <v>0</v>
      </c>
      <c r="J1306" s="13">
        <v>0</v>
      </c>
      <c r="K1306" s="14" t="str">
        <f>HYPERLINK("http://twitter.com/download/iphone","Twitter for iPhone")</f>
        <v>Twitter for iPhone</v>
      </c>
      <c r="L1306" s="13">
        <v>738</v>
      </c>
      <c r="M1306" s="13">
        <v>371</v>
      </c>
      <c r="N1306" s="13">
        <v>9</v>
      </c>
      <c r="O1306" s="15"/>
      <c r="P1306" s="6">
        <v>41887.974398148144</v>
      </c>
      <c r="Q1306" s="12"/>
      <c r="R1306" s="17" t="s">
        <v>4038</v>
      </c>
      <c r="S1306" s="11" t="s">
        <v>4039</v>
      </c>
      <c r="T1306" s="12"/>
      <c r="U1306" s="10" t="str">
        <f>HYPERLINK("https://pbs.twimg.com/profile_images/901512805978951680/xfxovVIQ.jpg","View")</f>
        <v>View</v>
      </c>
    </row>
    <row r="1307" spans="1:21" ht="51">
      <c r="A1307" s="6">
        <v>43419.398206018523</v>
      </c>
      <c r="B1307" s="7" t="str">
        <f>HYPERLINK("https://twitter.com/AzoteCasta","@AzoteCasta")</f>
        <v>@AzoteCasta</v>
      </c>
      <c r="C1307" s="8" t="s">
        <v>117</v>
      </c>
      <c r="D1307" s="9" t="s">
        <v>4241</v>
      </c>
      <c r="E1307" s="10" t="str">
        <f>HYPERLINK("https://twitter.com/AzoteCasta/status/1062986920823848960","1062986920823848960")</f>
        <v>1062986920823848960</v>
      </c>
      <c r="F1307" s="12"/>
      <c r="G1307" s="12"/>
      <c r="H1307" s="12"/>
      <c r="I1307" s="13">
        <v>29</v>
      </c>
      <c r="J1307" s="13">
        <v>43</v>
      </c>
      <c r="K1307" s="14" t="str">
        <f t="shared" ref="K1307:K1310" si="353">HYPERLINK("http://twitter.com/download/android","Twitter for Android")</f>
        <v>Twitter for Android</v>
      </c>
      <c r="L1307" s="13">
        <v>3638</v>
      </c>
      <c r="M1307" s="13">
        <v>2743</v>
      </c>
      <c r="N1307" s="13">
        <v>63</v>
      </c>
      <c r="O1307" s="15"/>
      <c r="P1307" s="6">
        <v>41441.048819444448</v>
      </c>
      <c r="Q1307" s="16" t="s">
        <v>66</v>
      </c>
      <c r="R1307" s="17" t="s">
        <v>120</v>
      </c>
      <c r="S1307" s="12"/>
      <c r="T1307" s="12"/>
      <c r="U1307" s="10" t="str">
        <f>HYPERLINK("https://pbs.twimg.com/profile_images/1037474236691042309/9t-T1AZv.jpg","View")</f>
        <v>View</v>
      </c>
    </row>
    <row r="1308" spans="1:21" ht="51">
      <c r="A1308" s="6">
        <v>43419.396111111113</v>
      </c>
      <c r="B1308" s="7" t="str">
        <f>HYPERLINK("https://twitter.com/dani75piscis","@dani75piscis")</f>
        <v>@dani75piscis</v>
      </c>
      <c r="C1308" s="8" t="s">
        <v>4156</v>
      </c>
      <c r="D1308" s="9" t="s">
        <v>4242</v>
      </c>
      <c r="E1308" s="10" t="str">
        <f>HYPERLINK("https://twitter.com/dani75piscis/status/1062986160513957889","1062986160513957889")</f>
        <v>1062986160513957889</v>
      </c>
      <c r="F1308" s="12"/>
      <c r="G1308" s="12"/>
      <c r="H1308" s="12"/>
      <c r="I1308" s="13">
        <v>0</v>
      </c>
      <c r="J1308" s="13">
        <v>1</v>
      </c>
      <c r="K1308" s="14" t="str">
        <f t="shared" si="353"/>
        <v>Twitter for Android</v>
      </c>
      <c r="L1308" s="13">
        <v>1175</v>
      </c>
      <c r="M1308" s="13">
        <v>657</v>
      </c>
      <c r="N1308" s="13">
        <v>7</v>
      </c>
      <c r="O1308" s="15"/>
      <c r="P1308" s="6">
        <v>41118.559930555552</v>
      </c>
      <c r="Q1308" s="12"/>
      <c r="R1308" s="17" t="s">
        <v>4159</v>
      </c>
      <c r="S1308" s="12"/>
      <c r="T1308" s="12"/>
      <c r="U1308" s="10" t="str">
        <f>HYPERLINK("https://pbs.twimg.com/profile_images/982973906674966528/hXEUcOTV.jpg","View")</f>
        <v>View</v>
      </c>
    </row>
    <row r="1309" spans="1:21" ht="40.799999999999997">
      <c r="A1309" s="6">
        <v>43419.386724537035</v>
      </c>
      <c r="B1309" s="7" t="str">
        <f>HYPERLINK("https://twitter.com/JoseLuisdelRio9","@JoseLuisdelRio9")</f>
        <v>@JoseLuisdelRio9</v>
      </c>
      <c r="C1309" s="8" t="s">
        <v>114</v>
      </c>
      <c r="D1309" s="9" t="s">
        <v>4243</v>
      </c>
      <c r="E1309" s="10" t="str">
        <f>HYPERLINK("https://twitter.com/JoseLuisdelRio9/status/1062982758358810624","1062982758358810624")</f>
        <v>1062982758358810624</v>
      </c>
      <c r="F1309" s="12"/>
      <c r="G1309" s="12"/>
      <c r="H1309" s="12"/>
      <c r="I1309" s="13">
        <v>6</v>
      </c>
      <c r="J1309" s="13">
        <v>7</v>
      </c>
      <c r="K1309" s="14" t="str">
        <f t="shared" si="353"/>
        <v>Twitter for Android</v>
      </c>
      <c r="L1309" s="13">
        <v>1807</v>
      </c>
      <c r="M1309" s="13">
        <v>2601</v>
      </c>
      <c r="N1309" s="13">
        <v>11</v>
      </c>
      <c r="O1309" s="15"/>
      <c r="P1309" s="6">
        <v>41780.701782407406</v>
      </c>
      <c r="Q1309" s="12"/>
      <c r="R1309" s="21"/>
      <c r="S1309" s="12"/>
      <c r="T1309" s="12"/>
      <c r="U1309" s="10" t="str">
        <f>HYPERLINK("https://pbs.twimg.com/profile_images/774235564761616384/v8tceDLo.jpg","View")</f>
        <v>View</v>
      </c>
    </row>
    <row r="1310" spans="1:21" ht="30.6">
      <c r="A1310" s="6">
        <v>43419.38559027778</v>
      </c>
      <c r="B1310" s="7" t="str">
        <f>HYPERLINK("https://twitter.com/TweetBo52541106","@TweetBo52541106")</f>
        <v>@TweetBo52541106</v>
      </c>
      <c r="C1310" s="8" t="s">
        <v>5110</v>
      </c>
      <c r="D1310" s="9" t="s">
        <v>5111</v>
      </c>
      <c r="E1310" s="10" t="str">
        <f>HYPERLINK("https://twitter.com/TweetBo52541106/status/1062982347526729730","1062982347526729730")</f>
        <v>1062982347526729730</v>
      </c>
      <c r="F1310" s="12"/>
      <c r="G1310" s="12"/>
      <c r="H1310" s="12"/>
      <c r="I1310" s="13">
        <v>0</v>
      </c>
      <c r="J1310" s="13">
        <v>0</v>
      </c>
      <c r="K1310" s="14" t="str">
        <f t="shared" si="353"/>
        <v>Twitter for Android</v>
      </c>
      <c r="L1310" s="13">
        <v>0</v>
      </c>
      <c r="M1310" s="13">
        <v>0</v>
      </c>
      <c r="N1310" s="13">
        <v>0</v>
      </c>
      <c r="O1310" s="15"/>
      <c r="P1310" s="6">
        <v>43270.650046296301</v>
      </c>
      <c r="Q1310" s="12"/>
      <c r="R1310" s="21"/>
      <c r="S1310" s="12"/>
      <c r="T1310" s="12"/>
      <c r="U1310" s="23" t="s">
        <v>307</v>
      </c>
    </row>
    <row r="1311" spans="1:21" ht="40.799999999999997">
      <c r="A1311" s="6">
        <v>43419.379745370374</v>
      </c>
      <c r="B1311" s="7" t="str">
        <f>HYPERLINK("https://twitter.com/Kike_medinalao","@Kike_medinalao")</f>
        <v>@Kike_medinalao</v>
      </c>
      <c r="C1311" s="8" t="s">
        <v>3068</v>
      </c>
      <c r="D1311" s="9" t="s">
        <v>4244</v>
      </c>
      <c r="E1311" s="10" t="str">
        <f>HYPERLINK("https://twitter.com/Kike_medinalao/status/1062980228002340865","1062980228002340865")</f>
        <v>1062980228002340865</v>
      </c>
      <c r="F1311" s="12"/>
      <c r="G1311" s="12"/>
      <c r="H1311" s="12"/>
      <c r="I1311" s="13">
        <v>0</v>
      </c>
      <c r="J1311" s="13">
        <v>0</v>
      </c>
      <c r="K1311" s="14" t="str">
        <f>HYPERLINK("http://twitter.com/download/iphone","Twitter for iPhone")</f>
        <v>Twitter for iPhone</v>
      </c>
      <c r="L1311" s="13">
        <v>125</v>
      </c>
      <c r="M1311" s="13">
        <v>238</v>
      </c>
      <c r="N1311" s="13">
        <v>1</v>
      </c>
      <c r="O1311" s="15"/>
      <c r="P1311" s="6">
        <v>42187.926759259259</v>
      </c>
      <c r="Q1311" s="12"/>
      <c r="R1311" s="17" t="s">
        <v>3071</v>
      </c>
      <c r="S1311" s="11" t="s">
        <v>3072</v>
      </c>
      <c r="T1311" s="12"/>
      <c r="U1311" s="10" t="str">
        <f>HYPERLINK("https://pbs.twimg.com/profile_images/623582938366636032/v89UuAN2.jpg","View")</f>
        <v>View</v>
      </c>
    </row>
    <row r="1312" spans="1:21" ht="51">
      <c r="A1312" s="6">
        <v>43419.376388888893</v>
      </c>
      <c r="B1312" s="7" t="str">
        <f t="shared" ref="B1312:B1314" si="354">HYPERLINK("https://twitter.com/bitMomentum","@bitMomentum")</f>
        <v>@bitMomentum</v>
      </c>
      <c r="C1312" s="8" t="s">
        <v>368</v>
      </c>
      <c r="D1312" s="9" t="s">
        <v>4245</v>
      </c>
      <c r="E1312" s="10" t="str">
        <f>HYPERLINK("https://twitter.com/bitMomentum/status/1062979011482148864","1062979011482148864")</f>
        <v>1062979011482148864</v>
      </c>
      <c r="F1312" s="12"/>
      <c r="G1312" s="12"/>
      <c r="H1312" s="12"/>
      <c r="I1312" s="13">
        <v>0</v>
      </c>
      <c r="J1312" s="13">
        <v>0</v>
      </c>
      <c r="K1312" s="14" t="str">
        <f t="shared" ref="K1312:K1314" si="355">HYPERLINK("http://www.bitmomentum.com","bitMomentum Bot")</f>
        <v>bitMomentum Bot</v>
      </c>
      <c r="L1312" s="13">
        <v>10132</v>
      </c>
      <c r="M1312" s="13">
        <v>1060</v>
      </c>
      <c r="N1312" s="13">
        <v>267</v>
      </c>
      <c r="O1312" s="15"/>
      <c r="P1312" s="6">
        <v>41608.667511574073</v>
      </c>
      <c r="Q1312" s="12"/>
      <c r="R1312" s="17" t="s">
        <v>371</v>
      </c>
      <c r="S1312" s="11" t="s">
        <v>372</v>
      </c>
      <c r="T1312" s="12"/>
      <c r="U1312" s="10" t="str">
        <f t="shared" ref="U1312:U1314" si="356">HYPERLINK("https://pbs.twimg.com/profile_images/378800000862185241/20ij2H3u.png","View")</f>
        <v>View</v>
      </c>
    </row>
    <row r="1313" spans="1:21" ht="40.799999999999997">
      <c r="A1313" s="6">
        <v>43419.376388888893</v>
      </c>
      <c r="B1313" s="7" t="str">
        <f t="shared" si="354"/>
        <v>@bitMomentum</v>
      </c>
      <c r="C1313" s="8" t="s">
        <v>368</v>
      </c>
      <c r="D1313" s="9" t="s">
        <v>4246</v>
      </c>
      <c r="E1313" s="10" t="str">
        <f>HYPERLINK("https://twitter.com/bitMomentum/status/1062979011415080960","1062979011415080960")</f>
        <v>1062979011415080960</v>
      </c>
      <c r="F1313" s="12"/>
      <c r="G1313" s="12"/>
      <c r="H1313" s="12"/>
      <c r="I1313" s="13">
        <v>0</v>
      </c>
      <c r="J1313" s="13">
        <v>0</v>
      </c>
      <c r="K1313" s="14" t="str">
        <f t="shared" si="355"/>
        <v>bitMomentum Bot</v>
      </c>
      <c r="L1313" s="13">
        <v>10132</v>
      </c>
      <c r="M1313" s="13">
        <v>1060</v>
      </c>
      <c r="N1313" s="13">
        <v>267</v>
      </c>
      <c r="O1313" s="15"/>
      <c r="P1313" s="6">
        <v>41608.667511574073</v>
      </c>
      <c r="Q1313" s="12"/>
      <c r="R1313" s="17" t="s">
        <v>371</v>
      </c>
      <c r="S1313" s="11" t="s">
        <v>372</v>
      </c>
      <c r="T1313" s="12"/>
      <c r="U1313" s="10" t="str">
        <f t="shared" si="356"/>
        <v>View</v>
      </c>
    </row>
    <row r="1314" spans="1:21" ht="51">
      <c r="A1314" s="6">
        <v>43419.375694444447</v>
      </c>
      <c r="B1314" s="7" t="str">
        <f t="shared" si="354"/>
        <v>@bitMomentum</v>
      </c>
      <c r="C1314" s="8" t="s">
        <v>368</v>
      </c>
      <c r="D1314" s="9" t="s">
        <v>4247</v>
      </c>
      <c r="E1314" s="10" t="str">
        <f>HYPERLINK("https://twitter.com/bitMomentum/status/1062978759769423872","1062978759769423872")</f>
        <v>1062978759769423872</v>
      </c>
      <c r="F1314" s="12"/>
      <c r="G1314" s="12"/>
      <c r="H1314" s="12"/>
      <c r="I1314" s="13">
        <v>0</v>
      </c>
      <c r="J1314" s="13">
        <v>1</v>
      </c>
      <c r="K1314" s="14" t="str">
        <f t="shared" si="355"/>
        <v>bitMomentum Bot</v>
      </c>
      <c r="L1314" s="13">
        <v>10132</v>
      </c>
      <c r="M1314" s="13">
        <v>1060</v>
      </c>
      <c r="N1314" s="13">
        <v>267</v>
      </c>
      <c r="O1314" s="15"/>
      <c r="P1314" s="6">
        <v>41608.667511574073</v>
      </c>
      <c r="Q1314" s="12"/>
      <c r="R1314" s="17" t="s">
        <v>371</v>
      </c>
      <c r="S1314" s="11" t="s">
        <v>372</v>
      </c>
      <c r="T1314" s="12"/>
      <c r="U1314" s="10" t="str">
        <f t="shared" si="356"/>
        <v>View</v>
      </c>
    </row>
    <row r="1315" spans="1:21" ht="40.799999999999997">
      <c r="A1315" s="6">
        <v>43419.375254629631</v>
      </c>
      <c r="B1315" s="7" t="str">
        <f>HYPERLINK("https://twitter.com/SantoJob2012","@SantoJob2012")</f>
        <v>@SantoJob2012</v>
      </c>
      <c r="C1315" s="8" t="s">
        <v>4248</v>
      </c>
      <c r="D1315" s="9" t="s">
        <v>4249</v>
      </c>
      <c r="E1315" s="10" t="str">
        <f>HYPERLINK("https://twitter.com/SantoJob2012/status/1062978600717160448","1062978600717160448")</f>
        <v>1062978600717160448</v>
      </c>
      <c r="F1315" s="12"/>
      <c r="G1315" s="12"/>
      <c r="H1315" s="12"/>
      <c r="I1315" s="13">
        <v>1</v>
      </c>
      <c r="J1315" s="13">
        <v>0</v>
      </c>
      <c r="K1315" s="14" t="str">
        <f>HYPERLINK("http://twitter.com/download/android","Twitter for Android")</f>
        <v>Twitter for Android</v>
      </c>
      <c r="L1315" s="13">
        <v>5478</v>
      </c>
      <c r="M1315" s="13">
        <v>5325</v>
      </c>
      <c r="N1315" s="13">
        <v>36</v>
      </c>
      <c r="O1315" s="15"/>
      <c r="P1315" s="6">
        <v>41062.393692129626</v>
      </c>
      <c r="Q1315" s="16" t="s">
        <v>4252</v>
      </c>
      <c r="R1315" s="17" t="s">
        <v>4253</v>
      </c>
      <c r="S1315" s="12"/>
      <c r="T1315" s="12"/>
      <c r="U1315" s="10" t="str">
        <f>HYPERLINK("https://pbs.twimg.com/profile_images/988290669688090624/9dWXLCa1.jpg","View")</f>
        <v>View</v>
      </c>
    </row>
    <row r="1316" spans="1:21" ht="30.6">
      <c r="A1316" s="6">
        <v>43419.375034722223</v>
      </c>
      <c r="B1316" s="7" t="str">
        <f>HYPERLINK("https://twitter.com/diariolaopinion","@diariolaopinion")</f>
        <v>@diariolaopinion</v>
      </c>
      <c r="C1316" s="8" t="s">
        <v>3900</v>
      </c>
      <c r="D1316" s="9" t="s">
        <v>4254</v>
      </c>
      <c r="E1316" s="10" t="str">
        <f>HYPERLINK("https://twitter.com/diariolaopinion/status/1062978522115911681","1062978522115911681")</f>
        <v>1062978522115911681</v>
      </c>
      <c r="F1316" s="11" t="s">
        <v>4255</v>
      </c>
      <c r="G1316" s="12"/>
      <c r="H1316" s="12"/>
      <c r="I1316" s="13">
        <v>1</v>
      </c>
      <c r="J1316" s="13">
        <v>1</v>
      </c>
      <c r="K1316" s="14" t="str">
        <f t="shared" ref="K1316:K1317" si="357">HYPERLINK("http://twitter.com","Twitter Web Client")</f>
        <v>Twitter Web Client</v>
      </c>
      <c r="L1316" s="13">
        <v>119887</v>
      </c>
      <c r="M1316" s="13">
        <v>1379</v>
      </c>
      <c r="N1316" s="13">
        <v>943</v>
      </c>
      <c r="O1316" s="23" t="s">
        <v>186</v>
      </c>
      <c r="P1316" s="6">
        <v>40273.898692129631</v>
      </c>
      <c r="Q1316" s="16" t="s">
        <v>3905</v>
      </c>
      <c r="R1316" s="17" t="s">
        <v>3906</v>
      </c>
      <c r="S1316" s="11" t="s">
        <v>3907</v>
      </c>
      <c r="T1316" s="12"/>
      <c r="U1316" s="10" t="str">
        <f>HYPERLINK("https://pbs.twimg.com/profile_images/948983253708476416/8KUZQrUn.jpg","View")</f>
        <v>View</v>
      </c>
    </row>
    <row r="1317" spans="1:21" ht="61.2">
      <c r="A1317" s="6">
        <v>43419.373576388884</v>
      </c>
      <c r="B1317" s="7" t="str">
        <f>HYPERLINK("https://twitter.com/diariobalear_es","@diariobalear_es")</f>
        <v>@diariobalear_es</v>
      </c>
      <c r="C1317" s="8" t="s">
        <v>672</v>
      </c>
      <c r="D1317" s="9" t="s">
        <v>4261</v>
      </c>
      <c r="E1317" s="10" t="str">
        <f>HYPERLINK("https://twitter.com/diariobalear_es/status/1062977994887716864","1062977994887716864")</f>
        <v>1062977994887716864</v>
      </c>
      <c r="F1317" s="11" t="s">
        <v>4264</v>
      </c>
      <c r="G1317" s="12"/>
      <c r="H1317" s="12"/>
      <c r="I1317" s="13">
        <v>2</v>
      </c>
      <c r="J1317" s="13">
        <v>4</v>
      </c>
      <c r="K1317" s="14" t="str">
        <f t="shared" si="357"/>
        <v>Twitter Web Client</v>
      </c>
      <c r="L1317" s="13">
        <v>3196</v>
      </c>
      <c r="M1317" s="13">
        <v>347</v>
      </c>
      <c r="N1317" s="13">
        <v>71</v>
      </c>
      <c r="O1317" s="15"/>
      <c r="P1317" s="6">
        <v>41694.754687499997</v>
      </c>
      <c r="Q1317" s="16" t="s">
        <v>675</v>
      </c>
      <c r="R1317" s="17" t="s">
        <v>676</v>
      </c>
      <c r="S1317" s="11" t="s">
        <v>677</v>
      </c>
      <c r="T1317" s="12"/>
      <c r="U1317" s="10" t="str">
        <f>HYPERLINK("https://pbs.twimg.com/profile_images/992417277797597184/28OVRjFF.jpg","View")</f>
        <v>View</v>
      </c>
    </row>
    <row r="1318" spans="1:21" ht="61.2">
      <c r="A1318" s="6">
        <v>43419.370046296295</v>
      </c>
      <c r="B1318" s="7" t="str">
        <f>HYPERLINK("https://twitter.com/CarlosJ58563305","@CarlosJ58563305")</f>
        <v>@CarlosJ58563305</v>
      </c>
      <c r="C1318" s="8" t="s">
        <v>1507</v>
      </c>
      <c r="D1318" s="9" t="s">
        <v>4266</v>
      </c>
      <c r="E1318" s="10" t="str">
        <f>HYPERLINK("https://twitter.com/CarlosJ58563305/status/1062976712781283328","1062976712781283328")</f>
        <v>1062976712781283328</v>
      </c>
      <c r="F1318" s="11" t="s">
        <v>4267</v>
      </c>
      <c r="G1318" s="12"/>
      <c r="H1318" s="12"/>
      <c r="I1318" s="13">
        <v>51</v>
      </c>
      <c r="J1318" s="13">
        <v>68</v>
      </c>
      <c r="K1318" s="14" t="str">
        <f t="shared" ref="K1318:K1320" si="358">HYPERLINK("http://twitter.com/download/android","Twitter for Android")</f>
        <v>Twitter for Android</v>
      </c>
      <c r="L1318" s="13">
        <v>1625</v>
      </c>
      <c r="M1318" s="13">
        <v>1729</v>
      </c>
      <c r="N1318" s="13">
        <v>9</v>
      </c>
      <c r="O1318" s="15"/>
      <c r="P1318" s="6">
        <v>43014.52344907407</v>
      </c>
      <c r="Q1318" s="16" t="s">
        <v>1510</v>
      </c>
      <c r="R1318" s="17" t="s">
        <v>1511</v>
      </c>
      <c r="S1318" s="12"/>
      <c r="T1318" s="12"/>
      <c r="U1318" s="10" t="str">
        <f>HYPERLINK("https://pbs.twimg.com/profile_images/1006094968476307456/KUz5auu2.jpg","View")</f>
        <v>View</v>
      </c>
    </row>
    <row r="1319" spans="1:21" ht="40.799999999999997">
      <c r="A1319" s="6">
        <v>43419.366145833337</v>
      </c>
      <c r="B1319" s="7" t="str">
        <f>HYPERLINK("https://twitter.com/vox_cartagena","@vox_cartagena")</f>
        <v>@vox_cartagena</v>
      </c>
      <c r="C1319" s="8" t="s">
        <v>3073</v>
      </c>
      <c r="D1319" s="9" t="s">
        <v>4268</v>
      </c>
      <c r="E1319" s="10" t="str">
        <f>HYPERLINK("https://twitter.com/vox_cartagena/status/1062975300366147586","1062975300366147586")</f>
        <v>1062975300366147586</v>
      </c>
      <c r="F1319" s="11" t="s">
        <v>4269</v>
      </c>
      <c r="G1319" s="12"/>
      <c r="H1319" s="12"/>
      <c r="I1319" s="13">
        <v>5</v>
      </c>
      <c r="J1319" s="13">
        <v>19</v>
      </c>
      <c r="K1319" s="14" t="str">
        <f t="shared" si="358"/>
        <v>Twitter for Android</v>
      </c>
      <c r="L1319" s="13">
        <v>1511</v>
      </c>
      <c r="M1319" s="13">
        <v>519</v>
      </c>
      <c r="N1319" s="13">
        <v>22</v>
      </c>
      <c r="O1319" s="15"/>
      <c r="P1319" s="6">
        <v>41716.846712962964</v>
      </c>
      <c r="Q1319" s="16" t="s">
        <v>423</v>
      </c>
      <c r="R1319" s="17" t="s">
        <v>3075</v>
      </c>
      <c r="S1319" s="11" t="s">
        <v>3076</v>
      </c>
      <c r="T1319" s="12"/>
      <c r="U1319" s="10" t="str">
        <f>HYPERLINK("https://pbs.twimg.com/profile_images/976938838806421506/4Xv0sCeD.jpg","View")</f>
        <v>View</v>
      </c>
    </row>
    <row r="1320" spans="1:21" ht="51">
      <c r="A1320" s="6">
        <v>43419.364016203705</v>
      </c>
      <c r="B1320" s="7" t="str">
        <f>HYPERLINK("https://twitter.com/lejonathan84","@lejonathan84")</f>
        <v>@lejonathan84</v>
      </c>
      <c r="C1320" s="8" t="s">
        <v>4105</v>
      </c>
      <c r="D1320" s="9" t="s">
        <v>4106</v>
      </c>
      <c r="E1320" s="10" t="str">
        <f>HYPERLINK("https://twitter.com/lejonathan84/status/1062974527481827329","1062974527481827329")</f>
        <v>1062974527481827329</v>
      </c>
      <c r="F1320" s="11" t="s">
        <v>4109</v>
      </c>
      <c r="G1320" s="12"/>
      <c r="H1320" s="12"/>
      <c r="I1320" s="13">
        <v>0</v>
      </c>
      <c r="J1320" s="13">
        <v>0</v>
      </c>
      <c r="K1320" s="14" t="str">
        <f t="shared" si="358"/>
        <v>Twitter for Android</v>
      </c>
      <c r="L1320" s="13">
        <v>617</v>
      </c>
      <c r="M1320" s="13">
        <v>1631</v>
      </c>
      <c r="N1320" s="13">
        <v>18</v>
      </c>
      <c r="O1320" s="15"/>
      <c r="P1320" s="6">
        <v>40235.037418981483</v>
      </c>
      <c r="Q1320" s="16" t="s">
        <v>4111</v>
      </c>
      <c r="R1320" s="17" t="s">
        <v>4112</v>
      </c>
      <c r="S1320" s="12"/>
      <c r="T1320" s="12"/>
      <c r="U1320" s="10" t="str">
        <f>HYPERLINK("https://pbs.twimg.com/profile_images/1002979559388712960/8OYfuwwB.jpg","View")</f>
        <v>View</v>
      </c>
    </row>
    <row r="1321" spans="1:21" ht="40.799999999999997">
      <c r="A1321" s="6">
        <v>43419.361354166671</v>
      </c>
      <c r="B1321" s="7" t="str">
        <f>HYPERLINK("https://twitter.com/raulnicripsia","@raulnicripsia")</f>
        <v>@raulnicripsia</v>
      </c>
      <c r="C1321" s="8" t="s">
        <v>4270</v>
      </c>
      <c r="D1321" s="9" t="s">
        <v>4271</v>
      </c>
      <c r="E1321" s="10" t="str">
        <f>HYPERLINK("https://twitter.com/raulnicripsia/status/1062973564448636928","1062973564448636928")</f>
        <v>1062973564448636928</v>
      </c>
      <c r="F1321" s="12"/>
      <c r="G1321" s="12"/>
      <c r="H1321" s="12"/>
      <c r="I1321" s="13">
        <v>0</v>
      </c>
      <c r="J1321" s="13">
        <v>1</v>
      </c>
      <c r="K1321" s="14" t="str">
        <f>HYPERLINK("http://twitter.com/#!/download/ipad","Twitter for iPad")</f>
        <v>Twitter for iPad</v>
      </c>
      <c r="L1321" s="13">
        <v>1386</v>
      </c>
      <c r="M1321" s="13">
        <v>347</v>
      </c>
      <c r="N1321" s="13">
        <v>75</v>
      </c>
      <c r="O1321" s="15"/>
      <c r="P1321" s="6">
        <v>40031.763043981482</v>
      </c>
      <c r="Q1321" s="16" t="s">
        <v>4272</v>
      </c>
      <c r="R1321" s="17" t="s">
        <v>4273</v>
      </c>
      <c r="S1321" s="11" t="s">
        <v>4274</v>
      </c>
      <c r="T1321" s="12"/>
      <c r="U1321" s="10" t="str">
        <f>HYPERLINK("https://pbs.twimg.com/profile_images/749298177422004224/493kVpy1.jpg","View")</f>
        <v>View</v>
      </c>
    </row>
    <row r="1322" spans="1:21" ht="102">
      <c r="A1322" s="6">
        <v>43419.352407407408</v>
      </c>
      <c r="B1322" s="7" t="str">
        <f>HYPERLINK("https://twitter.com/sanchezdelreal","@sanchezdelreal")</f>
        <v>@sanchezdelreal</v>
      </c>
      <c r="C1322" s="8" t="s">
        <v>4009</v>
      </c>
      <c r="D1322" s="9" t="s">
        <v>4275</v>
      </c>
      <c r="E1322" s="10" t="str">
        <f>HYPERLINK("https://twitter.com/sanchezdelreal/status/1062970324097089537","1062970324097089537")</f>
        <v>1062970324097089537</v>
      </c>
      <c r="F1322" s="16" t="s">
        <v>4277</v>
      </c>
      <c r="G1322" s="12"/>
      <c r="H1322" s="12"/>
      <c r="I1322" s="13">
        <v>238</v>
      </c>
      <c r="J1322" s="13">
        <v>342</v>
      </c>
      <c r="K1322" s="14" t="str">
        <f>HYPERLINK("http://twitter.com/download/iphone","Twitter for iPhone")</f>
        <v>Twitter for iPhone</v>
      </c>
      <c r="L1322" s="13">
        <v>10984</v>
      </c>
      <c r="M1322" s="13">
        <v>4318</v>
      </c>
      <c r="N1322" s="13">
        <v>210</v>
      </c>
      <c r="O1322" s="15"/>
      <c r="P1322" s="6">
        <v>39998.01866898148</v>
      </c>
      <c r="Q1322" s="16" t="s">
        <v>66</v>
      </c>
      <c r="R1322" s="17" t="s">
        <v>4012</v>
      </c>
      <c r="S1322" s="11" t="s">
        <v>4014</v>
      </c>
      <c r="T1322" s="12"/>
      <c r="U1322" s="10" t="str">
        <f>HYPERLINK("https://pbs.twimg.com/profile_images/891331643797114881/02K-0sjv.jpg","View")</f>
        <v>View</v>
      </c>
    </row>
    <row r="1323" spans="1:21" ht="20.399999999999999">
      <c r="A1323" s="6">
        <v>43419.351759259254</v>
      </c>
      <c r="B1323" s="7" t="str">
        <f>HYPERLINK("https://twitter.com/mariolacv","@mariolacv")</f>
        <v>@mariolacv</v>
      </c>
      <c r="C1323" s="8" t="s">
        <v>4281</v>
      </c>
      <c r="D1323" s="9" t="s">
        <v>4282</v>
      </c>
      <c r="E1323" s="10" t="str">
        <f>HYPERLINK("https://twitter.com/mariolacv/status/1062970085332172801","1062970085332172801")</f>
        <v>1062970085332172801</v>
      </c>
      <c r="F1323" s="12"/>
      <c r="G1323" s="12"/>
      <c r="H1323" s="12"/>
      <c r="I1323" s="13">
        <v>1</v>
      </c>
      <c r="J1323" s="13">
        <v>1</v>
      </c>
      <c r="K1323" s="14" t="str">
        <f>HYPERLINK("http://twitter.com/download/android","Twitter for Android")</f>
        <v>Twitter for Android</v>
      </c>
      <c r="L1323" s="13">
        <v>816</v>
      </c>
      <c r="M1323" s="13">
        <v>1362</v>
      </c>
      <c r="N1323" s="13">
        <v>15</v>
      </c>
      <c r="O1323" s="15"/>
      <c r="P1323" s="6">
        <v>39989.663935185185</v>
      </c>
      <c r="Q1323" s="16" t="s">
        <v>4285</v>
      </c>
      <c r="R1323" s="17" t="s">
        <v>4286</v>
      </c>
      <c r="S1323" s="12"/>
      <c r="T1323" s="12"/>
      <c r="U1323" s="10" t="str">
        <f>HYPERLINK("https://pbs.twimg.com/profile_images/1064291924213940224/kFBAjwoB.jpg","View")</f>
        <v>View</v>
      </c>
    </row>
    <row r="1324" spans="1:21" ht="51">
      <c r="A1324" s="6">
        <v>43419.34575231481</v>
      </c>
      <c r="B1324" s="7" t="str">
        <f>HYPERLINK("https://twitter.com/diariobalear_es","@diariobalear_es")</f>
        <v>@diariobalear_es</v>
      </c>
      <c r="C1324" s="8" t="s">
        <v>672</v>
      </c>
      <c r="D1324" s="9" t="s">
        <v>4287</v>
      </c>
      <c r="E1324" s="10" t="str">
        <f>HYPERLINK("https://twitter.com/diariobalear_es/status/1062967910015164417","1062967910015164417")</f>
        <v>1062967910015164417</v>
      </c>
      <c r="F1324" s="11" t="s">
        <v>4288</v>
      </c>
      <c r="G1324" s="12"/>
      <c r="H1324" s="12"/>
      <c r="I1324" s="13">
        <v>9</v>
      </c>
      <c r="J1324" s="13">
        <v>9</v>
      </c>
      <c r="K1324" s="14" t="str">
        <f>HYPERLINK("http://twitter.com","Twitter Web Client")</f>
        <v>Twitter Web Client</v>
      </c>
      <c r="L1324" s="13">
        <v>3196</v>
      </c>
      <c r="M1324" s="13">
        <v>347</v>
      </c>
      <c r="N1324" s="13">
        <v>71</v>
      </c>
      <c r="O1324" s="15"/>
      <c r="P1324" s="6">
        <v>41694.754687499997</v>
      </c>
      <c r="Q1324" s="16" t="s">
        <v>675</v>
      </c>
      <c r="R1324" s="17" t="s">
        <v>676</v>
      </c>
      <c r="S1324" s="11" t="s">
        <v>677</v>
      </c>
      <c r="T1324" s="12"/>
      <c r="U1324" s="10" t="str">
        <f>HYPERLINK("https://pbs.twimg.com/profile_images/992417277797597184/28OVRjFF.jpg","View")</f>
        <v>View</v>
      </c>
    </row>
    <row r="1325" spans="1:21" ht="61.2">
      <c r="A1325" s="6">
        <v>43419.344537037032</v>
      </c>
      <c r="B1325" s="7" t="str">
        <f>HYPERLINK("https://twitter.com/VOX_Barajas","@VOX_Barajas")</f>
        <v>@VOX_Barajas</v>
      </c>
      <c r="C1325" s="8" t="s">
        <v>4289</v>
      </c>
      <c r="D1325" s="9" t="s">
        <v>4290</v>
      </c>
      <c r="E1325" s="10" t="str">
        <f>HYPERLINK("https://twitter.com/VOX_Barajas/status/1062967471278301184","1062967471278301184")</f>
        <v>1062967471278301184</v>
      </c>
      <c r="F1325" s="12"/>
      <c r="G1325" s="11" t="s">
        <v>4291</v>
      </c>
      <c r="H1325" s="12"/>
      <c r="I1325" s="13">
        <v>0</v>
      </c>
      <c r="J1325" s="13">
        <v>4</v>
      </c>
      <c r="K1325" s="14" t="str">
        <f>HYPERLINK("http://twitter.com/download/android","Twitter for Android")</f>
        <v>Twitter for Android</v>
      </c>
      <c r="L1325" s="13">
        <v>390</v>
      </c>
      <c r="M1325" s="13">
        <v>323</v>
      </c>
      <c r="N1325" s="13">
        <v>2</v>
      </c>
      <c r="O1325" s="15"/>
      <c r="P1325" s="6">
        <v>43178.579606481479</v>
      </c>
      <c r="Q1325" s="16" t="s">
        <v>4292</v>
      </c>
      <c r="R1325" s="17" t="s">
        <v>4293</v>
      </c>
      <c r="S1325" s="11" t="s">
        <v>4294</v>
      </c>
      <c r="T1325" s="12"/>
      <c r="U1325" s="10" t="str">
        <f>HYPERLINK("https://pbs.twimg.com/profile_images/999245808561111040/yAUd4Db4.jpg","View")</f>
        <v>View</v>
      </c>
    </row>
    <row r="1326" spans="1:21" ht="40.799999999999997">
      <c r="A1326" s="6">
        <v>43419.341469907406</v>
      </c>
      <c r="B1326" s="7" t="str">
        <f>HYPERLINK("https://twitter.com/TvPlataforma","@TvPlataforma")</f>
        <v>@TvPlataforma</v>
      </c>
      <c r="C1326" s="8" t="s">
        <v>3297</v>
      </c>
      <c r="D1326" s="9" t="s">
        <v>4295</v>
      </c>
      <c r="E1326" s="10" t="str">
        <f>HYPERLINK("https://twitter.com/TvPlataforma/status/1062966357225062400","1062966357225062400")</f>
        <v>1062966357225062400</v>
      </c>
      <c r="F1326" s="11" t="s">
        <v>4298</v>
      </c>
      <c r="G1326" s="12"/>
      <c r="H1326" s="12"/>
      <c r="I1326" s="13">
        <v>0</v>
      </c>
      <c r="J1326" s="13">
        <v>1</v>
      </c>
      <c r="K1326" s="14" t="str">
        <f>HYPERLINK("http://twitter.com/#!/download/ipad","Twitter for iPad")</f>
        <v>Twitter for iPad</v>
      </c>
      <c r="L1326" s="13">
        <v>1707</v>
      </c>
      <c r="M1326" s="13">
        <v>4997</v>
      </c>
      <c r="N1326" s="13">
        <v>9</v>
      </c>
      <c r="O1326" s="15"/>
      <c r="P1326" s="6">
        <v>43377.804641203707</v>
      </c>
      <c r="Q1326" s="12"/>
      <c r="R1326" s="17" t="s">
        <v>3302</v>
      </c>
      <c r="S1326" s="12"/>
      <c r="T1326" s="12"/>
      <c r="U1326" s="10" t="str">
        <f>HYPERLINK("https://pbs.twimg.com/profile_images/1053301934134870017/ZuBUPU4P.jpg","View")</f>
        <v>View</v>
      </c>
    </row>
    <row r="1327" spans="1:21" ht="51">
      <c r="A1327" s="6">
        <v>43419.338194444441</v>
      </c>
      <c r="B1327" s="7" t="str">
        <f>HYPERLINK("https://twitter.com/trendinaliaES","@trendinaliaES")</f>
        <v>@trendinaliaES</v>
      </c>
      <c r="C1327" s="8" t="s">
        <v>265</v>
      </c>
      <c r="D1327" s="9" t="s">
        <v>4299</v>
      </c>
      <c r="E1327" s="10" t="str">
        <f>HYPERLINK("https://twitter.com/trendinaliaES/status/1062965172665544704","1062965172665544704")</f>
        <v>1062965172665544704</v>
      </c>
      <c r="F1327" s="11" t="s">
        <v>4300</v>
      </c>
      <c r="G1327" s="12"/>
      <c r="H1327" s="12" t="str">
        <f>HYPERLINK("https://ctrlq.org/maps/address/#40.4203,-3.7058","Map")</f>
        <v>Map</v>
      </c>
      <c r="I1327" s="13">
        <v>0</v>
      </c>
      <c r="J1327" s="13">
        <v>0</v>
      </c>
      <c r="K1327" s="14" t="str">
        <f>HYPERLINK("http://laconversa.com","Es Tendencia en España")</f>
        <v>Es Tendencia en España</v>
      </c>
      <c r="L1327" s="13">
        <v>49141</v>
      </c>
      <c r="M1327" s="13">
        <v>37</v>
      </c>
      <c r="N1327" s="13">
        <v>723</v>
      </c>
      <c r="O1327" s="23" t="s">
        <v>186</v>
      </c>
      <c r="P1327" s="6">
        <v>41319.819074074076</v>
      </c>
      <c r="Q1327" s="16" t="s">
        <v>66</v>
      </c>
      <c r="R1327" s="17" t="s">
        <v>268</v>
      </c>
      <c r="S1327" s="11" t="s">
        <v>269</v>
      </c>
      <c r="T1327" s="12"/>
      <c r="U1327" s="10" t="str">
        <f>HYPERLINK("https://pbs.twimg.com/profile_images/696485210821632000/xpdMQ_mE.png","View")</f>
        <v>View</v>
      </c>
    </row>
    <row r="1328" spans="1:21" ht="30.6">
      <c r="A1328" s="6">
        <v>43419.337754629625</v>
      </c>
      <c r="B1328" s="7" t="str">
        <f>HYPERLINK("https://twitter.com/sanchecito_98","@sanchecito_98")</f>
        <v>@sanchecito_98</v>
      </c>
      <c r="C1328" s="8" t="s">
        <v>5150</v>
      </c>
      <c r="D1328" s="9" t="s">
        <v>5151</v>
      </c>
      <c r="E1328" s="10" t="str">
        <f>HYPERLINK("https://twitter.com/sanchecito_98/status/1062965012409532417","1062965012409532417")</f>
        <v>1062965012409532417</v>
      </c>
      <c r="F1328" s="12"/>
      <c r="G1328" s="12"/>
      <c r="H1328" s="12"/>
      <c r="I1328" s="13">
        <v>0</v>
      </c>
      <c r="J1328" s="13">
        <v>2</v>
      </c>
      <c r="K1328" s="14" t="str">
        <f t="shared" ref="K1328:K1329" si="359">HYPERLINK("http://twitter.com/download/android","Twitter for Android")</f>
        <v>Twitter for Android</v>
      </c>
      <c r="L1328" s="13">
        <v>171</v>
      </c>
      <c r="M1328" s="13">
        <v>170</v>
      </c>
      <c r="N1328" s="13">
        <v>3</v>
      </c>
      <c r="O1328" s="15"/>
      <c r="P1328" s="6">
        <v>41425.761319444442</v>
      </c>
      <c r="Q1328" s="16" t="s">
        <v>5154</v>
      </c>
      <c r="R1328" s="17" t="s">
        <v>5155</v>
      </c>
      <c r="S1328" s="12"/>
      <c r="T1328" s="12"/>
      <c r="U1328" s="10" t="str">
        <f>HYPERLINK("https://pbs.twimg.com/profile_images/1064549252045656065/M-G4SRUd.jpg","View")</f>
        <v>View</v>
      </c>
    </row>
    <row r="1329" spans="1:21" ht="51">
      <c r="A1329" s="6">
        <v>43419.334745370375</v>
      </c>
      <c r="B1329" s="7" t="str">
        <f>HYPERLINK("https://twitter.com/lunadebenidorm","@lunadebenidorm")</f>
        <v>@lunadebenidorm</v>
      </c>
      <c r="C1329" s="8" t="s">
        <v>106</v>
      </c>
      <c r="D1329" s="9" t="s">
        <v>4301</v>
      </c>
      <c r="E1329" s="10" t="str">
        <f>HYPERLINK("https://twitter.com/lunadebenidorm/status/1062963922767097856","1062963922767097856")</f>
        <v>1062963922767097856</v>
      </c>
      <c r="F1329" s="12"/>
      <c r="G1329" s="12"/>
      <c r="H1329" s="12"/>
      <c r="I1329" s="13">
        <v>0</v>
      </c>
      <c r="J1329" s="13">
        <v>0</v>
      </c>
      <c r="K1329" s="14" t="str">
        <f t="shared" si="359"/>
        <v>Twitter for Android</v>
      </c>
      <c r="L1329" s="13">
        <v>3991</v>
      </c>
      <c r="M1329" s="13">
        <v>3978</v>
      </c>
      <c r="N1329" s="13">
        <v>79</v>
      </c>
      <c r="O1329" s="15"/>
      <c r="P1329" s="6">
        <v>41461.81186342593</v>
      </c>
      <c r="Q1329" s="12"/>
      <c r="R1329" s="17" t="s">
        <v>108</v>
      </c>
      <c r="S1329" s="12"/>
      <c r="T1329" s="12"/>
      <c r="U1329" s="10" t="str">
        <f>HYPERLINK("https://pbs.twimg.com/profile_images/1061229593758257153/rePCQt08.jpg","View")</f>
        <v>View</v>
      </c>
    </row>
    <row r="1330" spans="1:21" ht="51">
      <c r="A1330" s="6">
        <v>43419.334722222222</v>
      </c>
      <c r="B1330" s="7" t="str">
        <f>HYPERLINK("https://twitter.com/bitMomentum","@bitMomentum")</f>
        <v>@bitMomentum</v>
      </c>
      <c r="C1330" s="8" t="s">
        <v>368</v>
      </c>
      <c r="D1330" s="9" t="s">
        <v>4302</v>
      </c>
      <c r="E1330" s="10" t="str">
        <f>HYPERLINK("https://twitter.com/bitMomentum/status/1062963911765430272","1062963911765430272")</f>
        <v>1062963911765430272</v>
      </c>
      <c r="F1330" s="12"/>
      <c r="G1330" s="12"/>
      <c r="H1330" s="12"/>
      <c r="I1330" s="13">
        <v>0</v>
      </c>
      <c r="J1330" s="13">
        <v>0</v>
      </c>
      <c r="K1330" s="14" t="str">
        <f>HYPERLINK("http://www.bitmomentum.com","bitMomentum Bot")</f>
        <v>bitMomentum Bot</v>
      </c>
      <c r="L1330" s="13">
        <v>10132</v>
      </c>
      <c r="M1330" s="13">
        <v>1060</v>
      </c>
      <c r="N1330" s="13">
        <v>267</v>
      </c>
      <c r="O1330" s="15"/>
      <c r="P1330" s="6">
        <v>41608.667511574073</v>
      </c>
      <c r="Q1330" s="12"/>
      <c r="R1330" s="17" t="s">
        <v>371</v>
      </c>
      <c r="S1330" s="11" t="s">
        <v>372</v>
      </c>
      <c r="T1330" s="12"/>
      <c r="U1330" s="10" t="str">
        <f>HYPERLINK("https://pbs.twimg.com/profile_images/378800000862185241/20ij2H3u.png","View")</f>
        <v>View</v>
      </c>
    </row>
    <row r="1331" spans="1:21" ht="51">
      <c r="A1331" s="6">
        <v>43419.330891203703</v>
      </c>
      <c r="B1331" s="7" t="str">
        <f>HYPERLINK("https://twitter.com/NickyMarquez1","@NickyMarquez1")</f>
        <v>@NickyMarquez1</v>
      </c>
      <c r="C1331" s="8" t="s">
        <v>4303</v>
      </c>
      <c r="D1331" s="9" t="s">
        <v>4304</v>
      </c>
      <c r="E1331" s="10" t="str">
        <f>HYPERLINK("https://twitter.com/NickyMarquez1/status/1062962525145325574","1062962525145325574")</f>
        <v>1062962525145325574</v>
      </c>
      <c r="F1331" s="12"/>
      <c r="G1331" s="11" t="s">
        <v>3771</v>
      </c>
      <c r="H1331" s="12"/>
      <c r="I1331" s="13">
        <v>155</v>
      </c>
      <c r="J1331" s="13">
        <v>535</v>
      </c>
      <c r="K1331" s="14" t="str">
        <f>HYPERLINK("http://twitter.com/download/android","Twitter for Android")</f>
        <v>Twitter for Android</v>
      </c>
      <c r="L1331" s="13">
        <v>35698</v>
      </c>
      <c r="M1331" s="13">
        <v>2939</v>
      </c>
      <c r="N1331" s="13">
        <v>148</v>
      </c>
      <c r="O1331" s="15"/>
      <c r="P1331" s="6">
        <v>40946.155833333338</v>
      </c>
      <c r="Q1331" s="16" t="s">
        <v>4305</v>
      </c>
      <c r="R1331" s="17" t="s">
        <v>4306</v>
      </c>
      <c r="S1331" s="11" t="s">
        <v>4307</v>
      </c>
      <c r="T1331" s="12"/>
      <c r="U1331" s="10" t="str">
        <f>HYPERLINK("https://pbs.twimg.com/profile_images/585715320691785728/CiIW7Awl.jpg","View")</f>
        <v>View</v>
      </c>
    </row>
    <row r="1332" spans="1:21" ht="40.799999999999997">
      <c r="A1332" s="6">
        <v>43419.329837962963</v>
      </c>
      <c r="B1332" s="7" t="str">
        <f>HYPERLINK("https://twitter.com/_lufdez","@_lufdez")</f>
        <v>@_lufdez</v>
      </c>
      <c r="C1332" s="8" t="s">
        <v>4308</v>
      </c>
      <c r="D1332" s="9" t="s">
        <v>4309</v>
      </c>
      <c r="E1332" s="10" t="str">
        <f>HYPERLINK("https://twitter.com/_lufdez/status/1062962144382255104","1062962144382255104")</f>
        <v>1062962144382255104</v>
      </c>
      <c r="F1332" s="12"/>
      <c r="G1332" s="12"/>
      <c r="H1332" s="12"/>
      <c r="I1332" s="13">
        <v>0</v>
      </c>
      <c r="J1332" s="13">
        <v>4</v>
      </c>
      <c r="K1332" s="14" t="str">
        <f>HYPERLINK("https://mobile.twitter.com","Twitter Lite")</f>
        <v>Twitter Lite</v>
      </c>
      <c r="L1332" s="13">
        <v>453</v>
      </c>
      <c r="M1332" s="13">
        <v>578</v>
      </c>
      <c r="N1332" s="13">
        <v>1</v>
      </c>
      <c r="O1332" s="15"/>
      <c r="P1332" s="6">
        <v>41780.807222222225</v>
      </c>
      <c r="Q1332" s="16" t="s">
        <v>4310</v>
      </c>
      <c r="R1332" s="17" t="s">
        <v>4311</v>
      </c>
      <c r="S1332" s="12"/>
      <c r="T1332" s="12"/>
      <c r="U1332" s="10" t="str">
        <f>HYPERLINK("https://pbs.twimg.com/profile_images/1042204713461133313/2gFnfOWt.jpg","View")</f>
        <v>View</v>
      </c>
    </row>
    <row r="1333" spans="1:21" ht="112.2">
      <c r="A1333" s="6">
        <v>43419.327800925923</v>
      </c>
      <c r="B1333" s="7" t="str">
        <f>HYPERLINK("https://twitter.com/javiergalvezm","@javiergalvezm")</f>
        <v>@javiergalvezm</v>
      </c>
      <c r="C1333" s="8" t="s">
        <v>4312</v>
      </c>
      <c r="D1333" s="9" t="s">
        <v>4313</v>
      </c>
      <c r="E1333" s="10" t="str">
        <f>HYPERLINK("https://twitter.com/javiergalvezm/status/1062961405379469312","1062961405379469312")</f>
        <v>1062961405379469312</v>
      </c>
      <c r="F1333" s="11" t="s">
        <v>4296</v>
      </c>
      <c r="G1333" s="11" t="s">
        <v>4297</v>
      </c>
      <c r="H1333" s="12"/>
      <c r="I1333" s="13">
        <v>1</v>
      </c>
      <c r="J1333" s="13">
        <v>1</v>
      </c>
      <c r="K1333" s="14" t="str">
        <f>HYPERLINK("http://twitter.com/download/iphone","Twitter for iPhone")</f>
        <v>Twitter for iPhone</v>
      </c>
      <c r="L1333" s="13">
        <v>1650</v>
      </c>
      <c r="M1333" s="13">
        <v>1417</v>
      </c>
      <c r="N1333" s="13">
        <v>60</v>
      </c>
      <c r="O1333" s="15"/>
      <c r="P1333" s="6">
        <v>40013.636122685188</v>
      </c>
      <c r="Q1333" s="16" t="s">
        <v>66</v>
      </c>
      <c r="R1333" s="17" t="s">
        <v>4314</v>
      </c>
      <c r="S1333" s="12"/>
      <c r="T1333" s="12"/>
      <c r="U1333" s="10" t="str">
        <f>HYPERLINK("https://pbs.twimg.com/profile_images/730670112798310400/nXxG-UU3.jpg","View")</f>
        <v>View</v>
      </c>
    </row>
    <row r="1334" spans="1:21" ht="30.6">
      <c r="A1334" s="6">
        <v>43419.317569444444</v>
      </c>
      <c r="B1334" s="7" t="str">
        <f>HYPERLINK("https://twitter.com/Mabe_Fer_","@Mabe_Fer_")</f>
        <v>@Mabe_Fer_</v>
      </c>
      <c r="C1334" s="8" t="s">
        <v>594</v>
      </c>
      <c r="D1334" s="9" t="s">
        <v>4315</v>
      </c>
      <c r="E1334" s="10" t="str">
        <f>HYPERLINK("https://twitter.com/Mabe_Fer_/status/1062957697144930304","1062957697144930304")</f>
        <v>1062957697144930304</v>
      </c>
      <c r="F1334" s="11" t="s">
        <v>4316</v>
      </c>
      <c r="G1334" s="12"/>
      <c r="H1334" s="12"/>
      <c r="I1334" s="13">
        <v>0</v>
      </c>
      <c r="J1334" s="13">
        <v>0</v>
      </c>
      <c r="K1334" s="14" t="str">
        <f>HYPERLINK("http://twitter.com/download/android","Twitter for Android")</f>
        <v>Twitter for Android</v>
      </c>
      <c r="L1334" s="13">
        <v>389</v>
      </c>
      <c r="M1334" s="13">
        <v>251</v>
      </c>
      <c r="N1334" s="13">
        <v>0</v>
      </c>
      <c r="O1334" s="15"/>
      <c r="P1334" s="6">
        <v>43237.386134259257</v>
      </c>
      <c r="Q1334" s="16" t="s">
        <v>596</v>
      </c>
      <c r="R1334" s="17" t="s">
        <v>597</v>
      </c>
      <c r="S1334" s="12"/>
      <c r="T1334" s="12"/>
      <c r="U1334" s="10" t="str">
        <f>HYPERLINK("https://pbs.twimg.com/profile_images/1063816291390316544/8Ae4B9b0.jpg","View")</f>
        <v>View</v>
      </c>
    </row>
    <row r="1335" spans="1:21" ht="51">
      <c r="A1335" s="6">
        <v>43419.31450231481</v>
      </c>
      <c r="B1335" s="7" t="str">
        <f>HYPERLINK("https://twitter.com/churiaque","@churiaque")</f>
        <v>@churiaque</v>
      </c>
      <c r="C1335" s="8" t="s">
        <v>4318</v>
      </c>
      <c r="D1335" s="9" t="s">
        <v>4319</v>
      </c>
      <c r="E1335" s="10" t="str">
        <f>HYPERLINK("https://twitter.com/churiaque/status/1062956585629220864","1062956585629220864")</f>
        <v>1062956585629220864</v>
      </c>
      <c r="F1335" s="11" t="s">
        <v>4321</v>
      </c>
      <c r="G1335" s="12"/>
      <c r="H1335" s="12"/>
      <c r="I1335" s="13">
        <v>1</v>
      </c>
      <c r="J1335" s="13">
        <v>1</v>
      </c>
      <c r="K1335" s="14" t="str">
        <f t="shared" ref="K1335:K1336" si="360">HYPERLINK("http://twitter.com","Twitter Web Client")</f>
        <v>Twitter Web Client</v>
      </c>
      <c r="L1335" s="13">
        <v>469</v>
      </c>
      <c r="M1335" s="13">
        <v>894</v>
      </c>
      <c r="N1335" s="13">
        <v>21</v>
      </c>
      <c r="O1335" s="15"/>
      <c r="P1335" s="6">
        <v>40126.81722222222</v>
      </c>
      <c r="Q1335" s="16" t="s">
        <v>1608</v>
      </c>
      <c r="R1335" s="17" t="s">
        <v>4322</v>
      </c>
      <c r="S1335" s="12"/>
      <c r="T1335" s="12"/>
      <c r="U1335" s="10" t="str">
        <f>HYPERLINK("https://pbs.twimg.com/profile_images/927492117844373504/R3KdnKfA.jpg","View")</f>
        <v>View</v>
      </c>
    </row>
    <row r="1336" spans="1:21" ht="40.799999999999997">
      <c r="A1336" s="6">
        <v>43419.313344907408</v>
      </c>
      <c r="B1336" s="7" t="str">
        <f>HYPERLINK("https://twitter.com/javiBledo","@javiBledo")</f>
        <v>@javiBledo</v>
      </c>
      <c r="C1336" s="8" t="s">
        <v>4323</v>
      </c>
      <c r="D1336" s="9" t="s">
        <v>4324</v>
      </c>
      <c r="E1336" s="10" t="str">
        <f>HYPERLINK("https://twitter.com/javiBledo/status/1062956164722372608","1062956164722372608")</f>
        <v>1062956164722372608</v>
      </c>
      <c r="F1336" s="12"/>
      <c r="G1336" s="12"/>
      <c r="H1336" s="12"/>
      <c r="I1336" s="13">
        <v>0</v>
      </c>
      <c r="J1336" s="13">
        <v>0</v>
      </c>
      <c r="K1336" s="14" t="str">
        <f t="shared" si="360"/>
        <v>Twitter Web Client</v>
      </c>
      <c r="L1336" s="13">
        <v>51</v>
      </c>
      <c r="M1336" s="13">
        <v>59</v>
      </c>
      <c r="N1336" s="13">
        <v>18</v>
      </c>
      <c r="O1336" s="15"/>
      <c r="P1336" s="6">
        <v>41895.204004629632</v>
      </c>
      <c r="Q1336" s="16" t="s">
        <v>1204</v>
      </c>
      <c r="R1336" s="17" t="s">
        <v>4326</v>
      </c>
      <c r="S1336" s="12"/>
      <c r="T1336" s="12"/>
      <c r="U1336" s="10" t="str">
        <f>HYPERLINK("https://pbs.twimg.com/profile_images/1033043576987557890/wzFgaW74.jpg","View")</f>
        <v>View</v>
      </c>
    </row>
    <row r="1337" spans="1:21" ht="81.599999999999994">
      <c r="A1337" s="6">
        <v>43419.309201388889</v>
      </c>
      <c r="B1337" s="7" t="str">
        <f>HYPERLINK("https://twitter.com/FeynmanRainbow","@FeynmanRainbow")</f>
        <v>@FeynmanRainbow</v>
      </c>
      <c r="C1337" s="8" t="s">
        <v>4327</v>
      </c>
      <c r="D1337" s="9" t="s">
        <v>4328</v>
      </c>
      <c r="E1337" s="10" t="str">
        <f>HYPERLINK("https://twitter.com/FeynmanRainbow/status/1062954666735099904","1062954666735099904")</f>
        <v>1062954666735099904</v>
      </c>
      <c r="F1337" s="11" t="s">
        <v>3515</v>
      </c>
      <c r="G1337" s="11" t="s">
        <v>3516</v>
      </c>
      <c r="H1337" s="12"/>
      <c r="I1337" s="13">
        <v>0</v>
      </c>
      <c r="J1337" s="13">
        <v>0</v>
      </c>
      <c r="K1337" s="14" t="str">
        <f>HYPERLINK("http://twitter.com/download/iphone","Twitter for iPhone")</f>
        <v>Twitter for iPhone</v>
      </c>
      <c r="L1337" s="13">
        <v>47</v>
      </c>
      <c r="M1337" s="13">
        <v>162</v>
      </c>
      <c r="N1337" s="13">
        <v>0</v>
      </c>
      <c r="O1337" s="15"/>
      <c r="P1337" s="6">
        <v>40584.377986111111</v>
      </c>
      <c r="Q1337" s="12"/>
      <c r="R1337" s="17" t="s">
        <v>4329</v>
      </c>
      <c r="S1337" s="12"/>
      <c r="T1337" s="12"/>
      <c r="U1337" s="10" t="str">
        <f>HYPERLINK("https://pbs.twimg.com/profile_images/1033800329073176577/4FHXuUOh.jpg","View")</f>
        <v>View</v>
      </c>
    </row>
    <row r="1338" spans="1:21" ht="71.400000000000006">
      <c r="A1338" s="6">
        <v>43419.300416666665</v>
      </c>
      <c r="B1338" s="7" t="str">
        <f>HYPERLINK("https://twitter.com/manstein1966","@manstein1966")</f>
        <v>@manstein1966</v>
      </c>
      <c r="C1338" s="8" t="s">
        <v>4330</v>
      </c>
      <c r="D1338" s="9" t="s">
        <v>4331</v>
      </c>
      <c r="E1338" s="10" t="str">
        <f>HYPERLINK("https://twitter.com/manstein1966/status/1062951480192315392","1062951480192315392")</f>
        <v>1062951480192315392</v>
      </c>
      <c r="F1338" s="16" t="s">
        <v>4332</v>
      </c>
      <c r="G1338" s="12"/>
      <c r="H1338" s="12"/>
      <c r="I1338" s="13">
        <v>0</v>
      </c>
      <c r="J1338" s="13">
        <v>0</v>
      </c>
      <c r="K1338" s="14" t="str">
        <f>HYPERLINK("http://twitter.com/#!/download/ipad","Twitter for iPad")</f>
        <v>Twitter for iPad</v>
      </c>
      <c r="L1338" s="13">
        <v>82</v>
      </c>
      <c r="M1338" s="13">
        <v>138</v>
      </c>
      <c r="N1338" s="13">
        <v>4</v>
      </c>
      <c r="O1338" s="15"/>
      <c r="P1338" s="6">
        <v>41799.953090277777</v>
      </c>
      <c r="Q1338" s="16" t="s">
        <v>301</v>
      </c>
      <c r="R1338" s="17" t="s">
        <v>4337</v>
      </c>
      <c r="S1338" s="12"/>
      <c r="T1338" s="12"/>
      <c r="U1338" s="10" t="str">
        <f>HYPERLINK("https://pbs.twimg.com/profile_images/772111827387965440/7igdjAFl.jpg","View")</f>
        <v>View</v>
      </c>
    </row>
    <row r="1339" spans="1:21" ht="51">
      <c r="A1339" s="6">
        <v>43419.29305555555</v>
      </c>
      <c r="B1339" s="7" t="str">
        <f>HYPERLINK("https://twitter.com/bitMomentum","@bitMomentum")</f>
        <v>@bitMomentum</v>
      </c>
      <c r="C1339" s="8" t="s">
        <v>368</v>
      </c>
      <c r="D1339" s="9" t="s">
        <v>4341</v>
      </c>
      <c r="E1339" s="10" t="str">
        <f>HYPERLINK("https://twitter.com/bitMomentum/status/1062948812539478016","1062948812539478016")</f>
        <v>1062948812539478016</v>
      </c>
      <c r="F1339" s="12"/>
      <c r="G1339" s="12"/>
      <c r="H1339" s="12"/>
      <c r="I1339" s="13">
        <v>0</v>
      </c>
      <c r="J1339" s="13">
        <v>0</v>
      </c>
      <c r="K1339" s="14" t="str">
        <f>HYPERLINK("http://www.bitmomentum.com","bitMomentum Bot")</f>
        <v>bitMomentum Bot</v>
      </c>
      <c r="L1339" s="13">
        <v>10132</v>
      </c>
      <c r="M1339" s="13">
        <v>1060</v>
      </c>
      <c r="N1339" s="13">
        <v>267</v>
      </c>
      <c r="O1339" s="15"/>
      <c r="P1339" s="6">
        <v>41608.667511574073</v>
      </c>
      <c r="Q1339" s="12"/>
      <c r="R1339" s="17" t="s">
        <v>371</v>
      </c>
      <c r="S1339" s="11" t="s">
        <v>372</v>
      </c>
      <c r="T1339" s="12"/>
      <c r="U1339" s="10" t="str">
        <f>HYPERLINK("https://pbs.twimg.com/profile_images/378800000862185241/20ij2H3u.png","View")</f>
        <v>View</v>
      </c>
    </row>
    <row r="1340" spans="1:21" ht="40.799999999999997">
      <c r="A1340" s="6">
        <v>43419.28334490741</v>
      </c>
      <c r="B1340" s="7" t="str">
        <f>HYPERLINK("https://twitter.com/SergioM59701729","@SergioM59701729")</f>
        <v>@SergioM59701729</v>
      </c>
      <c r="C1340" s="8" t="s">
        <v>4343</v>
      </c>
      <c r="D1340" s="9" t="s">
        <v>4344</v>
      </c>
      <c r="E1340" s="10" t="str">
        <f>HYPERLINK("https://twitter.com/SergioM59701729/status/1062945294726430720","1062945294726430720")</f>
        <v>1062945294726430720</v>
      </c>
      <c r="F1340" s="12"/>
      <c r="G1340" s="12"/>
      <c r="H1340" s="12"/>
      <c r="I1340" s="13">
        <v>0</v>
      </c>
      <c r="J1340" s="13">
        <v>0</v>
      </c>
      <c r="K1340" s="14" t="str">
        <f>HYPERLINK("http://twitter.com/download/android","Twitter for Android")</f>
        <v>Twitter for Android</v>
      </c>
      <c r="L1340" s="13">
        <v>226</v>
      </c>
      <c r="M1340" s="13">
        <v>495</v>
      </c>
      <c r="N1340" s="13">
        <v>1</v>
      </c>
      <c r="O1340" s="15"/>
      <c r="P1340" s="6">
        <v>43316.847222222219</v>
      </c>
      <c r="Q1340" s="16" t="s">
        <v>275</v>
      </c>
      <c r="R1340" s="17" t="s">
        <v>4345</v>
      </c>
      <c r="S1340" s="12"/>
      <c r="T1340" s="12"/>
      <c r="U1340" s="10" t="str">
        <f>HYPERLINK("https://pbs.twimg.com/profile_images/1062420437890723842/5UtXQcuk.jpg","View")</f>
        <v>View</v>
      </c>
    </row>
    <row r="1341" spans="1:21" ht="61.2">
      <c r="A1341" s="6">
        <v>43419.281504629631</v>
      </c>
      <c r="B1341" s="7" t="str">
        <f>HYPERLINK("https://twitter.com/Antonio29407099","@Antonio29407099")</f>
        <v>@Antonio29407099</v>
      </c>
      <c r="C1341" s="8" t="s">
        <v>1371</v>
      </c>
      <c r="D1341" s="9" t="s">
        <v>4346</v>
      </c>
      <c r="E1341" s="10" t="str">
        <f>HYPERLINK("https://twitter.com/Antonio29407099/status/1062944629539196928","1062944629539196928")</f>
        <v>1062944629539196928</v>
      </c>
      <c r="F1341" s="11" t="s">
        <v>4347</v>
      </c>
      <c r="G1341" s="11" t="s">
        <v>4348</v>
      </c>
      <c r="H1341" s="12"/>
      <c r="I1341" s="13">
        <v>0</v>
      </c>
      <c r="J1341" s="13">
        <v>1</v>
      </c>
      <c r="K1341" s="14" t="str">
        <f>HYPERLINK("http://twitter.com","Twitter Web Client")</f>
        <v>Twitter Web Client</v>
      </c>
      <c r="L1341" s="13">
        <v>409</v>
      </c>
      <c r="M1341" s="13">
        <v>420</v>
      </c>
      <c r="N1341" s="13">
        <v>8</v>
      </c>
      <c r="O1341" s="15"/>
      <c r="P1341" s="6">
        <v>40986.32503472222</v>
      </c>
      <c r="Q1341" s="16" t="s">
        <v>1117</v>
      </c>
      <c r="R1341" s="17" t="s">
        <v>1372</v>
      </c>
      <c r="S1341" s="12"/>
      <c r="T1341" s="12"/>
      <c r="U1341" s="10" t="str">
        <f>HYPERLINK("https://pbs.twimg.com/profile_images/1065943948890382336/j9ezRSrk.jpg","View")</f>
        <v>View</v>
      </c>
    </row>
    <row r="1342" spans="1:21" ht="51">
      <c r="A1342" s="6">
        <v>43419.251388888893</v>
      </c>
      <c r="B1342" s="7" t="str">
        <f t="shared" ref="B1342:B1345" si="361">HYPERLINK("https://twitter.com/bitMomentum","@bitMomentum")</f>
        <v>@bitMomentum</v>
      </c>
      <c r="C1342" s="8" t="s">
        <v>368</v>
      </c>
      <c r="D1342" s="9" t="s">
        <v>4352</v>
      </c>
      <c r="E1342" s="10" t="str">
        <f>HYPERLINK("https://twitter.com/bitMomentum/status/1062933712923435008","1062933712923435008")</f>
        <v>1062933712923435008</v>
      </c>
      <c r="F1342" s="12"/>
      <c r="G1342" s="12"/>
      <c r="H1342" s="12"/>
      <c r="I1342" s="13">
        <v>0</v>
      </c>
      <c r="J1342" s="13">
        <v>0</v>
      </c>
      <c r="K1342" s="14" t="str">
        <f t="shared" ref="K1342:K1345" si="362">HYPERLINK("http://www.bitmomentum.com","bitMomentum Bot")</f>
        <v>bitMomentum Bot</v>
      </c>
      <c r="L1342" s="13">
        <v>10132</v>
      </c>
      <c r="M1342" s="13">
        <v>1060</v>
      </c>
      <c r="N1342" s="13">
        <v>267</v>
      </c>
      <c r="O1342" s="15"/>
      <c r="P1342" s="6">
        <v>41608.667511574073</v>
      </c>
      <c r="Q1342" s="12"/>
      <c r="R1342" s="17" t="s">
        <v>371</v>
      </c>
      <c r="S1342" s="11" t="s">
        <v>372</v>
      </c>
      <c r="T1342" s="12"/>
      <c r="U1342" s="10" t="str">
        <f t="shared" ref="U1342:U1345" si="363">HYPERLINK("https://pbs.twimg.com/profile_images/378800000862185241/20ij2H3u.png","View")</f>
        <v>View</v>
      </c>
    </row>
    <row r="1343" spans="1:21" ht="51">
      <c r="A1343" s="6">
        <v>43419.251388888893</v>
      </c>
      <c r="B1343" s="7" t="str">
        <f t="shared" si="361"/>
        <v>@bitMomentum</v>
      </c>
      <c r="C1343" s="8" t="s">
        <v>368</v>
      </c>
      <c r="D1343" s="9" t="s">
        <v>4355</v>
      </c>
      <c r="E1343" s="10" t="str">
        <f>HYPERLINK("https://twitter.com/bitMomentum/status/1062933712873099264","1062933712873099264")</f>
        <v>1062933712873099264</v>
      </c>
      <c r="F1343" s="12"/>
      <c r="G1343" s="12"/>
      <c r="H1343" s="12"/>
      <c r="I1343" s="13">
        <v>0</v>
      </c>
      <c r="J1343" s="13">
        <v>1</v>
      </c>
      <c r="K1343" s="14" t="str">
        <f t="shared" si="362"/>
        <v>bitMomentum Bot</v>
      </c>
      <c r="L1343" s="13">
        <v>10132</v>
      </c>
      <c r="M1343" s="13">
        <v>1060</v>
      </c>
      <c r="N1343" s="13">
        <v>267</v>
      </c>
      <c r="O1343" s="15"/>
      <c r="P1343" s="6">
        <v>41608.667511574073</v>
      </c>
      <c r="Q1343" s="12"/>
      <c r="R1343" s="17" t="s">
        <v>371</v>
      </c>
      <c r="S1343" s="11" t="s">
        <v>372</v>
      </c>
      <c r="T1343" s="12"/>
      <c r="U1343" s="10" t="str">
        <f t="shared" si="363"/>
        <v>View</v>
      </c>
    </row>
    <row r="1344" spans="1:21" ht="51">
      <c r="A1344" s="6">
        <v>43419.209722222222</v>
      </c>
      <c r="B1344" s="7" t="str">
        <f t="shared" si="361"/>
        <v>@bitMomentum</v>
      </c>
      <c r="C1344" s="8" t="s">
        <v>368</v>
      </c>
      <c r="D1344" s="9" t="s">
        <v>4356</v>
      </c>
      <c r="E1344" s="10" t="str">
        <f>HYPERLINK("https://twitter.com/bitMomentum/status/1062918613374525440","1062918613374525440")</f>
        <v>1062918613374525440</v>
      </c>
      <c r="F1344" s="12"/>
      <c r="G1344" s="12"/>
      <c r="H1344" s="12"/>
      <c r="I1344" s="13">
        <v>0</v>
      </c>
      <c r="J1344" s="13">
        <v>0</v>
      </c>
      <c r="K1344" s="14" t="str">
        <f t="shared" si="362"/>
        <v>bitMomentum Bot</v>
      </c>
      <c r="L1344" s="13">
        <v>10132</v>
      </c>
      <c r="M1344" s="13">
        <v>1060</v>
      </c>
      <c r="N1344" s="13">
        <v>267</v>
      </c>
      <c r="O1344" s="15"/>
      <c r="P1344" s="6">
        <v>41608.667511574073</v>
      </c>
      <c r="Q1344" s="12"/>
      <c r="R1344" s="17" t="s">
        <v>371</v>
      </c>
      <c r="S1344" s="11" t="s">
        <v>372</v>
      </c>
      <c r="T1344" s="12"/>
      <c r="U1344" s="10" t="str">
        <f t="shared" si="363"/>
        <v>View</v>
      </c>
    </row>
    <row r="1345" spans="1:21" ht="51">
      <c r="A1345" s="6">
        <v>43419.16805555555</v>
      </c>
      <c r="B1345" s="7" t="str">
        <f t="shared" si="361"/>
        <v>@bitMomentum</v>
      </c>
      <c r="C1345" s="8" t="s">
        <v>368</v>
      </c>
      <c r="D1345" s="9" t="s">
        <v>4358</v>
      </c>
      <c r="E1345" s="10" t="str">
        <f>HYPERLINK("https://twitter.com/bitMomentum/status/1062903513724915717","1062903513724915717")</f>
        <v>1062903513724915717</v>
      </c>
      <c r="F1345" s="12"/>
      <c r="G1345" s="12"/>
      <c r="H1345" s="12"/>
      <c r="I1345" s="13">
        <v>0</v>
      </c>
      <c r="J1345" s="13">
        <v>1</v>
      </c>
      <c r="K1345" s="14" t="str">
        <f t="shared" si="362"/>
        <v>bitMomentum Bot</v>
      </c>
      <c r="L1345" s="13">
        <v>10132</v>
      </c>
      <c r="M1345" s="13">
        <v>1060</v>
      </c>
      <c r="N1345" s="13">
        <v>267</v>
      </c>
      <c r="O1345" s="15"/>
      <c r="P1345" s="6">
        <v>41608.667511574073</v>
      </c>
      <c r="Q1345" s="12"/>
      <c r="R1345" s="17" t="s">
        <v>371</v>
      </c>
      <c r="S1345" s="11" t="s">
        <v>372</v>
      </c>
      <c r="T1345" s="12"/>
      <c r="U1345" s="10" t="str">
        <f t="shared" si="363"/>
        <v>View</v>
      </c>
    </row>
    <row r="1346" spans="1:21" ht="51">
      <c r="A1346" s="6">
        <v>43419.167858796296</v>
      </c>
      <c r="B1346" s="7" t="str">
        <f>HYPERLINK("https://twitter.com/rososcar","@rososcar")</f>
        <v>@rososcar</v>
      </c>
      <c r="C1346" s="8" t="s">
        <v>3367</v>
      </c>
      <c r="D1346" s="9" t="s">
        <v>4359</v>
      </c>
      <c r="E1346" s="10" t="str">
        <f>HYPERLINK("https://twitter.com/rososcar/status/1062903444112134144","1062903444112134144")</f>
        <v>1062903444112134144</v>
      </c>
      <c r="F1346" s="12"/>
      <c r="G1346" s="12"/>
      <c r="H1346" s="12"/>
      <c r="I1346" s="13">
        <v>0</v>
      </c>
      <c r="J1346" s="13">
        <v>2</v>
      </c>
      <c r="K1346" s="14" t="str">
        <f>HYPERLINK("http://twitter.com/download/iphone","Twitter for iPhone")</f>
        <v>Twitter for iPhone</v>
      </c>
      <c r="L1346" s="13">
        <v>502</v>
      </c>
      <c r="M1346" s="13">
        <v>2101</v>
      </c>
      <c r="N1346" s="13">
        <v>5</v>
      </c>
      <c r="O1346" s="15"/>
      <c r="P1346" s="6">
        <v>40743.02548611111</v>
      </c>
      <c r="Q1346" s="16" t="s">
        <v>3369</v>
      </c>
      <c r="R1346" s="17" t="s">
        <v>3370</v>
      </c>
      <c r="S1346" s="12"/>
      <c r="T1346" s="12"/>
      <c r="U1346" s="10" t="str">
        <f>HYPERLINK("https://pbs.twimg.com/profile_images/1059731425145032709/pCDEeu7T.jpg","View")</f>
        <v>View</v>
      </c>
    </row>
    <row r="1347" spans="1:21" ht="51">
      <c r="A1347" s="6">
        <v>43419.167361111111</v>
      </c>
      <c r="B1347" s="7" t="str">
        <f t="shared" ref="B1347:B1348" si="364">HYPERLINK("https://twitter.com/bitMomentum","@bitMomentum")</f>
        <v>@bitMomentum</v>
      </c>
      <c r="C1347" s="8" t="s">
        <v>368</v>
      </c>
      <c r="D1347" s="9" t="s">
        <v>4360</v>
      </c>
      <c r="E1347" s="10" t="str">
        <f>HYPERLINK("https://twitter.com/bitMomentum/status/1062903262272217088","1062903262272217088")</f>
        <v>1062903262272217088</v>
      </c>
      <c r="F1347" s="12"/>
      <c r="G1347" s="12"/>
      <c r="H1347" s="12"/>
      <c r="I1347" s="13">
        <v>0</v>
      </c>
      <c r="J1347" s="13">
        <v>0</v>
      </c>
      <c r="K1347" s="14" t="str">
        <f t="shared" ref="K1347:K1348" si="365">HYPERLINK("http://www.bitmomentum.com","bitMomentum Bot")</f>
        <v>bitMomentum Bot</v>
      </c>
      <c r="L1347" s="13">
        <v>10132</v>
      </c>
      <c r="M1347" s="13">
        <v>1060</v>
      </c>
      <c r="N1347" s="13">
        <v>267</v>
      </c>
      <c r="O1347" s="15"/>
      <c r="P1347" s="6">
        <v>41608.667511574073</v>
      </c>
      <c r="Q1347" s="12"/>
      <c r="R1347" s="17" t="s">
        <v>371</v>
      </c>
      <c r="S1347" s="11" t="s">
        <v>372</v>
      </c>
      <c r="T1347" s="12"/>
      <c r="U1347" s="10" t="str">
        <f t="shared" ref="U1347:U1348" si="366">HYPERLINK("https://pbs.twimg.com/profile_images/378800000862185241/20ij2H3u.png","View")</f>
        <v>View</v>
      </c>
    </row>
    <row r="1348" spans="1:21" ht="51">
      <c r="A1348" s="6">
        <v>43419.126388888893</v>
      </c>
      <c r="B1348" s="7" t="str">
        <f t="shared" si="364"/>
        <v>@bitMomentum</v>
      </c>
      <c r="C1348" s="8" t="s">
        <v>368</v>
      </c>
      <c r="D1348" s="9" t="s">
        <v>4361</v>
      </c>
      <c r="E1348" s="10" t="str">
        <f>HYPERLINK("https://twitter.com/bitMomentum/status/1062888414285099009","1062888414285099009")</f>
        <v>1062888414285099009</v>
      </c>
      <c r="F1348" s="12"/>
      <c r="G1348" s="12"/>
      <c r="H1348" s="12"/>
      <c r="I1348" s="13">
        <v>0</v>
      </c>
      <c r="J1348" s="13">
        <v>1</v>
      </c>
      <c r="K1348" s="14" t="str">
        <f t="shared" si="365"/>
        <v>bitMomentum Bot</v>
      </c>
      <c r="L1348" s="13">
        <v>10132</v>
      </c>
      <c r="M1348" s="13">
        <v>1060</v>
      </c>
      <c r="N1348" s="13">
        <v>267</v>
      </c>
      <c r="O1348" s="15"/>
      <c r="P1348" s="6">
        <v>41608.667511574073</v>
      </c>
      <c r="Q1348" s="12"/>
      <c r="R1348" s="17" t="s">
        <v>371</v>
      </c>
      <c r="S1348" s="11" t="s">
        <v>372</v>
      </c>
      <c r="T1348" s="12"/>
      <c r="U1348" s="10" t="str">
        <f t="shared" si="366"/>
        <v>View</v>
      </c>
    </row>
    <row r="1349" spans="1:21" ht="40.799999999999997">
      <c r="A1349" s="6">
        <v>43419.117152777777</v>
      </c>
      <c r="B1349" s="7" t="str">
        <f>HYPERLINK("https://twitter.com/SergioQ1ta","@SergioQ1ta")</f>
        <v>@SergioQ1ta</v>
      </c>
      <c r="C1349" s="8" t="s">
        <v>5192</v>
      </c>
      <c r="D1349" s="9" t="s">
        <v>5193</v>
      </c>
      <c r="E1349" s="10" t="str">
        <f>HYPERLINK("https://twitter.com/SergioQ1ta/status/1062885070292299781","1062885070292299781")</f>
        <v>1062885070292299781</v>
      </c>
      <c r="F1349" s="12"/>
      <c r="G1349" s="12"/>
      <c r="H1349" s="12"/>
      <c r="I1349" s="13">
        <v>0</v>
      </c>
      <c r="J1349" s="13">
        <v>0</v>
      </c>
      <c r="K1349" s="14" t="str">
        <f>HYPERLINK("https://mobile.twitter.com","Twitter Lite")</f>
        <v>Twitter Lite</v>
      </c>
      <c r="L1349" s="13">
        <v>919</v>
      </c>
      <c r="M1349" s="13">
        <v>1198</v>
      </c>
      <c r="N1349" s="13">
        <v>3</v>
      </c>
      <c r="O1349" s="15"/>
      <c r="P1349" s="6">
        <v>42820.68677083333</v>
      </c>
      <c r="Q1349" s="16" t="s">
        <v>5194</v>
      </c>
      <c r="R1349" s="17" t="s">
        <v>5195</v>
      </c>
      <c r="S1349" s="12"/>
      <c r="T1349" s="12"/>
      <c r="U1349" s="10" t="str">
        <f>HYPERLINK("https://pbs.twimg.com/profile_images/1018627910226325504/r9QzrG3b.jpg","View")</f>
        <v>View</v>
      </c>
    </row>
    <row r="1350" spans="1:21" ht="40.799999999999997">
      <c r="A1350" s="6">
        <v>43419.112708333334</v>
      </c>
      <c r="B1350" s="7" t="str">
        <f>HYPERLINK("https://twitter.com/Daniel_Sanz_C","@Daniel_Sanz_C")</f>
        <v>@Daniel_Sanz_C</v>
      </c>
      <c r="C1350" s="8" t="s">
        <v>4362</v>
      </c>
      <c r="D1350" s="9" t="s">
        <v>4363</v>
      </c>
      <c r="E1350" s="10" t="str">
        <f>HYPERLINK("https://twitter.com/Daniel_Sanz_C/status/1062883458840780800","1062883458840780800")</f>
        <v>1062883458840780800</v>
      </c>
      <c r="F1350" s="12"/>
      <c r="G1350" s="12"/>
      <c r="H1350" s="12"/>
      <c r="I1350" s="13">
        <v>2</v>
      </c>
      <c r="J1350" s="13">
        <v>10</v>
      </c>
      <c r="K1350" s="14" t="str">
        <f>HYPERLINK("http://twitter.com/download/android","Twitter for Android")</f>
        <v>Twitter for Android</v>
      </c>
      <c r="L1350" s="13">
        <v>2673</v>
      </c>
      <c r="M1350" s="13">
        <v>2600</v>
      </c>
      <c r="N1350" s="13">
        <v>57</v>
      </c>
      <c r="O1350" s="15"/>
      <c r="P1350" s="6">
        <v>40494.831053240741</v>
      </c>
      <c r="Q1350" s="16" t="s">
        <v>104</v>
      </c>
      <c r="R1350" s="17" t="s">
        <v>4364</v>
      </c>
      <c r="S1350" s="12"/>
      <c r="T1350" s="12"/>
      <c r="U1350" s="10" t="str">
        <f>HYPERLINK("https://pbs.twimg.com/profile_images/694435642974019584/kYBrBnWM.jpg","View")</f>
        <v>View</v>
      </c>
    </row>
    <row r="1351" spans="1:21" ht="71.400000000000006">
      <c r="A1351" s="6">
        <v>43419.104814814811</v>
      </c>
      <c r="B1351" s="7" t="str">
        <f>HYPERLINK("https://twitter.com/derechanacional","@derechanacional")</f>
        <v>@derechanacional</v>
      </c>
      <c r="C1351" s="8" t="s">
        <v>1880</v>
      </c>
      <c r="D1351" s="9" t="s">
        <v>4368</v>
      </c>
      <c r="E1351" s="10" t="str">
        <f>HYPERLINK("https://twitter.com/derechanacional/status/1062880599701106690","1062880599701106690")</f>
        <v>1062880599701106690</v>
      </c>
      <c r="F1351" s="11" t="s">
        <v>4369</v>
      </c>
      <c r="G1351" s="11" t="s">
        <v>4370</v>
      </c>
      <c r="H1351" s="12"/>
      <c r="I1351" s="13">
        <v>0</v>
      </c>
      <c r="J1351" s="13">
        <v>0</v>
      </c>
      <c r="K1351" s="14" t="str">
        <f>HYPERLINK("https://mobile.twitter.com","Twitter Lite")</f>
        <v>Twitter Lite</v>
      </c>
      <c r="L1351" s="13">
        <v>12448</v>
      </c>
      <c r="M1351" s="13">
        <v>937</v>
      </c>
      <c r="N1351" s="13">
        <v>57</v>
      </c>
      <c r="O1351" s="15"/>
      <c r="P1351" s="6">
        <v>40205.043692129628</v>
      </c>
      <c r="Q1351" s="16" t="s">
        <v>44</v>
      </c>
      <c r="R1351" s="17" t="s">
        <v>1883</v>
      </c>
      <c r="S1351" s="11" t="s">
        <v>1884</v>
      </c>
      <c r="T1351" s="12"/>
      <c r="U1351" s="10" t="str">
        <f>HYPERLINK("https://pbs.twimg.com/profile_images/1003817558150131713/IX1-gpQG.jpg","View")</f>
        <v>View</v>
      </c>
    </row>
    <row r="1352" spans="1:21" ht="40.799999999999997">
      <c r="A1352" s="6">
        <v>43419.103645833333</v>
      </c>
      <c r="B1352" s="7" t="str">
        <f>HYPERLINK("https://twitter.com/LodbrokRagnarr","@LodbrokRagnarr")</f>
        <v>@LodbrokRagnarr</v>
      </c>
      <c r="C1352" s="8" t="s">
        <v>4374</v>
      </c>
      <c r="D1352" s="9" t="s">
        <v>4375</v>
      </c>
      <c r="E1352" s="10" t="str">
        <f>HYPERLINK("https://twitter.com/LodbrokRagnarr/status/1062880175099166720","1062880175099166720")</f>
        <v>1062880175099166720</v>
      </c>
      <c r="F1352" s="11" t="s">
        <v>3614</v>
      </c>
      <c r="G1352" s="11" t="s">
        <v>3615</v>
      </c>
      <c r="H1352" s="12"/>
      <c r="I1352" s="13">
        <v>0</v>
      </c>
      <c r="J1352" s="13">
        <v>0</v>
      </c>
      <c r="K1352" s="14" t="str">
        <f>HYPERLINK("http://twitter.com/download/iphone","Twitter for iPhone")</f>
        <v>Twitter for iPhone</v>
      </c>
      <c r="L1352" s="13">
        <v>224</v>
      </c>
      <c r="M1352" s="13">
        <v>305</v>
      </c>
      <c r="N1352" s="13">
        <v>0</v>
      </c>
      <c r="O1352" s="15"/>
      <c r="P1352" s="6">
        <v>43026.563587962963</v>
      </c>
      <c r="Q1352" s="16" t="s">
        <v>4378</v>
      </c>
      <c r="R1352" s="17" t="s">
        <v>4379</v>
      </c>
      <c r="S1352" s="12"/>
      <c r="T1352" s="12"/>
      <c r="U1352" s="10" t="str">
        <f>HYPERLINK("https://pbs.twimg.com/profile_images/1044877006662504448/gItV5tbD.jpg","View")</f>
        <v>View</v>
      </c>
    </row>
    <row r="1353" spans="1:21" ht="81.599999999999994">
      <c r="A1353" s="6">
        <v>43419.103402777779</v>
      </c>
      <c r="B1353" s="7" t="str">
        <f>HYPERLINK("https://twitter.com/derechanacional","@derechanacional")</f>
        <v>@derechanacional</v>
      </c>
      <c r="C1353" s="8" t="s">
        <v>1880</v>
      </c>
      <c r="D1353" s="9" t="s">
        <v>4380</v>
      </c>
      <c r="E1353" s="10" t="str">
        <f>HYPERLINK("https://twitter.com/derechanacional/status/1062880085517221888","1062880085517221888")</f>
        <v>1062880085517221888</v>
      </c>
      <c r="F1353" s="11" t="s">
        <v>4369</v>
      </c>
      <c r="G1353" s="11" t="s">
        <v>4370</v>
      </c>
      <c r="H1353" s="12"/>
      <c r="I1353" s="13">
        <v>0</v>
      </c>
      <c r="J1353" s="13">
        <v>0</v>
      </c>
      <c r="K1353" s="14" t="str">
        <f>HYPERLINK("https://mobile.twitter.com","Twitter Lite")</f>
        <v>Twitter Lite</v>
      </c>
      <c r="L1353" s="13">
        <v>12448</v>
      </c>
      <c r="M1353" s="13">
        <v>937</v>
      </c>
      <c r="N1353" s="13">
        <v>57</v>
      </c>
      <c r="O1353" s="15"/>
      <c r="P1353" s="6">
        <v>40205.043692129628</v>
      </c>
      <c r="Q1353" s="16" t="s">
        <v>44</v>
      </c>
      <c r="R1353" s="17" t="s">
        <v>1883</v>
      </c>
      <c r="S1353" s="11" t="s">
        <v>1884</v>
      </c>
      <c r="T1353" s="12"/>
      <c r="U1353" s="10" t="str">
        <f>HYPERLINK("https://pbs.twimg.com/profile_images/1003817558150131713/IX1-gpQG.jpg","View")</f>
        <v>View</v>
      </c>
    </row>
    <row r="1354" spans="1:21" ht="40.799999999999997">
      <c r="A1354" s="6">
        <v>43419.095787037033</v>
      </c>
      <c r="B1354" s="7" t="str">
        <f>HYPERLINK("https://twitter.com/DiegoPauper","@DiegoPauper")</f>
        <v>@DiegoPauper</v>
      </c>
      <c r="C1354" s="8" t="s">
        <v>4381</v>
      </c>
      <c r="D1354" s="9" t="s">
        <v>4382</v>
      </c>
      <c r="E1354" s="10" t="str">
        <f>HYPERLINK("https://twitter.com/DiegoPauper/status/1062877328030744576","1062877328030744576")</f>
        <v>1062877328030744576</v>
      </c>
      <c r="F1354" s="12"/>
      <c r="G1354" s="12"/>
      <c r="H1354" s="12"/>
      <c r="I1354" s="13">
        <v>0</v>
      </c>
      <c r="J1354" s="13">
        <v>2</v>
      </c>
      <c r="K1354" s="14" t="str">
        <f>HYPERLINK("http://twitter.com/download/android","Twitter for Android")</f>
        <v>Twitter for Android</v>
      </c>
      <c r="L1354" s="13">
        <v>640</v>
      </c>
      <c r="M1354" s="13">
        <v>1722</v>
      </c>
      <c r="N1354" s="13">
        <v>8</v>
      </c>
      <c r="O1354" s="15"/>
      <c r="P1354" s="6">
        <v>41258.687314814815</v>
      </c>
      <c r="Q1354" s="16" t="s">
        <v>4383</v>
      </c>
      <c r="R1354" s="17" t="s">
        <v>4384</v>
      </c>
      <c r="S1354" s="12"/>
      <c r="T1354" s="12"/>
      <c r="U1354" s="10" t="str">
        <f>HYPERLINK("https://pbs.twimg.com/profile_images/891455291572838400/cnLMUMFJ.jpg","View")</f>
        <v>View</v>
      </c>
    </row>
    <row r="1355" spans="1:21" ht="30.6">
      <c r="A1355" s="6">
        <v>43419.092303240745</v>
      </c>
      <c r="B1355" s="7" t="str">
        <f>HYPERLINK("https://twitter.com/t_weim","@t_weim")</f>
        <v>@t_weim</v>
      </c>
      <c r="C1355" s="8" t="s">
        <v>5220</v>
      </c>
      <c r="D1355" s="9" t="s">
        <v>5221</v>
      </c>
      <c r="E1355" s="10" t="str">
        <f>HYPERLINK("https://twitter.com/t_weim/status/1062876065159409665","1062876065159409665")</f>
        <v>1062876065159409665</v>
      </c>
      <c r="F1355" s="16" t="s">
        <v>5222</v>
      </c>
      <c r="G1355" s="12"/>
      <c r="H1355" s="12"/>
      <c r="I1355" s="13">
        <v>0</v>
      </c>
      <c r="J1355" s="13">
        <v>0</v>
      </c>
      <c r="K1355" s="14" t="str">
        <f>HYPERLINK("https://mobile.twitter.com","Twitter Lite")</f>
        <v>Twitter Lite</v>
      </c>
      <c r="L1355" s="13">
        <v>502</v>
      </c>
      <c r="M1355" s="13">
        <v>649</v>
      </c>
      <c r="N1355" s="13">
        <v>6</v>
      </c>
      <c r="O1355" s="15"/>
      <c r="P1355" s="6">
        <v>41627.649722222224</v>
      </c>
      <c r="Q1355" s="12"/>
      <c r="R1355" s="17" t="s">
        <v>5223</v>
      </c>
      <c r="S1355" s="12"/>
      <c r="T1355" s="12"/>
      <c r="U1355" s="10" t="str">
        <f>HYPERLINK("https://pbs.twimg.com/profile_images/1062316801386860544/-X489fY7.jpg","View")</f>
        <v>View</v>
      </c>
    </row>
    <row r="1356" spans="1:21" ht="51">
      <c r="A1356" s="6">
        <v>43419.084722222222</v>
      </c>
      <c r="B1356" s="7" t="str">
        <f>HYPERLINK("https://twitter.com/bitMomentum","@bitMomentum")</f>
        <v>@bitMomentum</v>
      </c>
      <c r="C1356" s="8" t="s">
        <v>368</v>
      </c>
      <c r="D1356" s="9" t="s">
        <v>4385</v>
      </c>
      <c r="E1356" s="10" t="str">
        <f>HYPERLINK("https://twitter.com/bitMomentum/status/1062873315033923584","1062873315033923584")</f>
        <v>1062873315033923584</v>
      </c>
      <c r="F1356" s="12"/>
      <c r="G1356" s="12"/>
      <c r="H1356" s="12"/>
      <c r="I1356" s="13">
        <v>0</v>
      </c>
      <c r="J1356" s="13">
        <v>1</v>
      </c>
      <c r="K1356" s="14" t="str">
        <f>HYPERLINK("http://www.bitmomentum.com","bitMomentum Bot")</f>
        <v>bitMomentum Bot</v>
      </c>
      <c r="L1356" s="13">
        <v>10132</v>
      </c>
      <c r="M1356" s="13">
        <v>1060</v>
      </c>
      <c r="N1356" s="13">
        <v>267</v>
      </c>
      <c r="O1356" s="15"/>
      <c r="P1356" s="6">
        <v>41608.667511574073</v>
      </c>
      <c r="Q1356" s="12"/>
      <c r="R1356" s="17" t="s">
        <v>371</v>
      </c>
      <c r="S1356" s="11" t="s">
        <v>372</v>
      </c>
      <c r="T1356" s="12"/>
      <c r="U1356" s="10" t="str">
        <f>HYPERLINK("https://pbs.twimg.com/profile_images/378800000862185241/20ij2H3u.png","View")</f>
        <v>View</v>
      </c>
    </row>
    <row r="1357" spans="1:21" ht="20.399999999999999">
      <c r="A1357" s="6">
        <v>43419.078993055555</v>
      </c>
      <c r="B1357" s="7" t="str">
        <f>HYPERLINK("https://twitter.com/lunadebenidorm","@lunadebenidorm")</f>
        <v>@lunadebenidorm</v>
      </c>
      <c r="C1357" s="8" t="s">
        <v>106</v>
      </c>
      <c r="D1357" s="9" t="s">
        <v>4386</v>
      </c>
      <c r="E1357" s="10" t="str">
        <f>HYPERLINK("https://twitter.com/lunadebenidorm/status/1062871240677961728","1062871240677961728")</f>
        <v>1062871240677961728</v>
      </c>
      <c r="F1357" s="11" t="s">
        <v>4321</v>
      </c>
      <c r="G1357" s="12"/>
      <c r="H1357" s="12"/>
      <c r="I1357" s="13">
        <v>0</v>
      </c>
      <c r="J1357" s="13">
        <v>0</v>
      </c>
      <c r="K1357" s="14" t="str">
        <f>HYPERLINK("http://twitter.com/download/android","Twitter for Android")</f>
        <v>Twitter for Android</v>
      </c>
      <c r="L1357" s="13">
        <v>3991</v>
      </c>
      <c r="M1357" s="13">
        <v>3978</v>
      </c>
      <c r="N1357" s="13">
        <v>79</v>
      </c>
      <c r="O1357" s="15"/>
      <c r="P1357" s="6">
        <v>41461.81186342593</v>
      </c>
      <c r="Q1357" s="12"/>
      <c r="R1357" s="17" t="s">
        <v>108</v>
      </c>
      <c r="S1357" s="12"/>
      <c r="T1357" s="12"/>
      <c r="U1357" s="10" t="str">
        <f>HYPERLINK("https://pbs.twimg.com/profile_images/1061229593758257153/rePCQt08.jpg","View")</f>
        <v>View</v>
      </c>
    </row>
    <row r="1358" spans="1:21" ht="51">
      <c r="A1358" s="6">
        <v>43419.07413194445</v>
      </c>
      <c r="B1358" s="7" t="str">
        <f>HYPERLINK("https://twitter.com/alias877","@alias877")</f>
        <v>@alias877</v>
      </c>
      <c r="C1358" s="8" t="s">
        <v>4181</v>
      </c>
      <c r="D1358" s="9" t="s">
        <v>4182</v>
      </c>
      <c r="E1358" s="10" t="str">
        <f>HYPERLINK("https://twitter.com/alias877/status/1062869480030851072","1062869480030851072")</f>
        <v>1062869480030851072</v>
      </c>
      <c r="F1358" s="12"/>
      <c r="G1358" s="12"/>
      <c r="H1358" s="12"/>
      <c r="I1358" s="13">
        <v>0</v>
      </c>
      <c r="J1358" s="13">
        <v>0</v>
      </c>
      <c r="K1358" s="14" t="str">
        <f>HYPERLINK("http://twitter.com","Twitter Web Client")</f>
        <v>Twitter Web Client</v>
      </c>
      <c r="L1358" s="13">
        <v>2339</v>
      </c>
      <c r="M1358" s="13">
        <v>2988</v>
      </c>
      <c r="N1358" s="13">
        <v>1</v>
      </c>
      <c r="O1358" s="15"/>
      <c r="P1358" s="6">
        <v>42930.740995370375</v>
      </c>
      <c r="Q1358" s="12"/>
      <c r="R1358" s="17" t="s">
        <v>4186</v>
      </c>
      <c r="S1358" s="12"/>
      <c r="T1358" s="12"/>
      <c r="U1358" s="10" t="str">
        <f>HYPERLINK("https://pbs.twimg.com/profile_images/885893571517308934/I5ddACgR.jpg","View")</f>
        <v>View</v>
      </c>
    </row>
    <row r="1359" spans="1:21" ht="71.400000000000006">
      <c r="A1359" s="6">
        <v>43419.062662037039</v>
      </c>
      <c r="B1359" s="7" t="str">
        <f>HYPERLINK("https://twitter.com/eguskialde369","@eguskialde369")</f>
        <v>@eguskialde369</v>
      </c>
      <c r="C1359" s="8" t="s">
        <v>1399</v>
      </c>
      <c r="D1359" s="9" t="s">
        <v>4387</v>
      </c>
      <c r="E1359" s="10" t="str">
        <f>HYPERLINK("https://twitter.com/eguskialde369/status/1062865323748016128","1062865323748016128")</f>
        <v>1062865323748016128</v>
      </c>
      <c r="F1359" s="11" t="s">
        <v>4388</v>
      </c>
      <c r="G1359" s="11" t="s">
        <v>4389</v>
      </c>
      <c r="H1359" s="12"/>
      <c r="I1359" s="13">
        <v>0</v>
      </c>
      <c r="J1359" s="13">
        <v>0</v>
      </c>
      <c r="K1359" s="14" t="str">
        <f t="shared" ref="K1359:K1364" si="367">HYPERLINK("http://twitter.com/download/android","Twitter for Android")</f>
        <v>Twitter for Android</v>
      </c>
      <c r="L1359" s="13">
        <v>1040</v>
      </c>
      <c r="M1359" s="13">
        <v>963</v>
      </c>
      <c r="N1359" s="13">
        <v>20</v>
      </c>
      <c r="O1359" s="15"/>
      <c r="P1359" s="6">
        <v>41442.00849537037</v>
      </c>
      <c r="Q1359" s="12"/>
      <c r="R1359" s="17" t="s">
        <v>1404</v>
      </c>
      <c r="S1359" s="12"/>
      <c r="T1359" s="12"/>
      <c r="U1359" s="10" t="str">
        <f>HYPERLINK("https://pbs.twimg.com/profile_images/1060767567105552384/wdHOLC0t.jpg","View")</f>
        <v>View</v>
      </c>
    </row>
    <row r="1360" spans="1:21" ht="20.399999999999999">
      <c r="A1360" s="6">
        <v>43419.056516203702</v>
      </c>
      <c r="B1360" s="7" t="str">
        <f>HYPERLINK("https://twitter.com/Real_Madrid_RD","@Real_Madrid_RD")</f>
        <v>@Real_Madrid_RD</v>
      </c>
      <c r="C1360" s="8" t="s">
        <v>4390</v>
      </c>
      <c r="D1360" s="9" t="s">
        <v>4391</v>
      </c>
      <c r="E1360" s="10" t="str">
        <f>HYPERLINK("https://twitter.com/Real_Madrid_RD/status/1062863095767449600","1062863095767449600")</f>
        <v>1062863095767449600</v>
      </c>
      <c r="F1360" s="12"/>
      <c r="G1360" s="12"/>
      <c r="H1360" s="12"/>
      <c r="I1360" s="13">
        <v>0</v>
      </c>
      <c r="J1360" s="13">
        <v>3</v>
      </c>
      <c r="K1360" s="14" t="str">
        <f t="shared" si="367"/>
        <v>Twitter for Android</v>
      </c>
      <c r="L1360" s="13">
        <v>1164</v>
      </c>
      <c r="M1360" s="13">
        <v>600</v>
      </c>
      <c r="N1360" s="13">
        <v>17</v>
      </c>
      <c r="O1360" s="15"/>
      <c r="P1360" s="6">
        <v>41010.762696759259</v>
      </c>
      <c r="Q1360" s="16" t="s">
        <v>312</v>
      </c>
      <c r="R1360" s="17" t="s">
        <v>4392</v>
      </c>
      <c r="S1360" s="12"/>
      <c r="T1360" s="12"/>
      <c r="U1360" s="10" t="str">
        <f>HYPERLINK("https://pbs.twimg.com/profile_images/895709966551699457/2k7VuD1w.jpg","View")</f>
        <v>View</v>
      </c>
    </row>
    <row r="1361" spans="1:21" ht="30.6">
      <c r="A1361" s="6">
        <v>43419.052453703705</v>
      </c>
      <c r="B1361" s="7" t="str">
        <f t="shared" ref="B1361:B1362" si="368">HYPERLINK("https://twitter.com/lunadebenidorm","@lunadebenidorm")</f>
        <v>@lunadebenidorm</v>
      </c>
      <c r="C1361" s="8" t="s">
        <v>106</v>
      </c>
      <c r="D1361" s="9" t="s">
        <v>4393</v>
      </c>
      <c r="E1361" s="10" t="str">
        <f>HYPERLINK("https://twitter.com/lunadebenidorm/status/1062861623659032576","1062861623659032576")</f>
        <v>1062861623659032576</v>
      </c>
      <c r="F1361" s="11" t="s">
        <v>4394</v>
      </c>
      <c r="G1361" s="12"/>
      <c r="H1361" s="12"/>
      <c r="I1361" s="13">
        <v>0</v>
      </c>
      <c r="J1361" s="13">
        <v>0</v>
      </c>
      <c r="K1361" s="14" t="str">
        <f t="shared" si="367"/>
        <v>Twitter for Android</v>
      </c>
      <c r="L1361" s="13">
        <v>3991</v>
      </c>
      <c r="M1361" s="13">
        <v>3978</v>
      </c>
      <c r="N1361" s="13">
        <v>79</v>
      </c>
      <c r="O1361" s="15"/>
      <c r="P1361" s="6">
        <v>41461.81186342593</v>
      </c>
      <c r="Q1361" s="12"/>
      <c r="R1361" s="17" t="s">
        <v>108</v>
      </c>
      <c r="S1361" s="12"/>
      <c r="T1361" s="12"/>
      <c r="U1361" s="10" t="str">
        <f t="shared" ref="U1361:U1362" si="369">HYPERLINK("https://pbs.twimg.com/profile_images/1061229593758257153/rePCQt08.jpg","View")</f>
        <v>View</v>
      </c>
    </row>
    <row r="1362" spans="1:21" ht="81.599999999999994">
      <c r="A1362" s="6">
        <v>43419.048819444448</v>
      </c>
      <c r="B1362" s="7" t="str">
        <f t="shared" si="368"/>
        <v>@lunadebenidorm</v>
      </c>
      <c r="C1362" s="8" t="s">
        <v>106</v>
      </c>
      <c r="D1362" s="9" t="s">
        <v>4396</v>
      </c>
      <c r="E1362" s="10" t="str">
        <f>HYPERLINK("https://twitter.com/lunadebenidorm/status/1062860304667893760","1062860304667893760")</f>
        <v>1062860304667893760</v>
      </c>
      <c r="F1362" s="11" t="s">
        <v>4046</v>
      </c>
      <c r="G1362" s="11" t="s">
        <v>4047</v>
      </c>
      <c r="H1362" s="12"/>
      <c r="I1362" s="13">
        <v>0</v>
      </c>
      <c r="J1362" s="13">
        <v>1</v>
      </c>
      <c r="K1362" s="14" t="str">
        <f t="shared" si="367"/>
        <v>Twitter for Android</v>
      </c>
      <c r="L1362" s="13">
        <v>3991</v>
      </c>
      <c r="M1362" s="13">
        <v>3978</v>
      </c>
      <c r="N1362" s="13">
        <v>79</v>
      </c>
      <c r="O1362" s="15"/>
      <c r="P1362" s="6">
        <v>41461.81186342593</v>
      </c>
      <c r="Q1362" s="12"/>
      <c r="R1362" s="17" t="s">
        <v>108</v>
      </c>
      <c r="S1362" s="12"/>
      <c r="T1362" s="12"/>
      <c r="U1362" s="10" t="str">
        <f t="shared" si="369"/>
        <v>View</v>
      </c>
    </row>
    <row r="1363" spans="1:21" ht="51">
      <c r="A1363" s="6">
        <v>43419.044965277775</v>
      </c>
      <c r="B1363" s="7" t="str">
        <f>HYPERLINK("https://twitter.com/joseaportero1","@joseaportero1")</f>
        <v>@joseaportero1</v>
      </c>
      <c r="C1363" s="8" t="s">
        <v>1629</v>
      </c>
      <c r="D1363" s="9" t="s">
        <v>4399</v>
      </c>
      <c r="E1363" s="10" t="str">
        <f>HYPERLINK("https://twitter.com/joseaportero1/status/1062858910942531584","1062858910942531584")</f>
        <v>1062858910942531584</v>
      </c>
      <c r="F1363" s="12"/>
      <c r="G1363" s="12"/>
      <c r="H1363" s="12"/>
      <c r="I1363" s="13">
        <v>0</v>
      </c>
      <c r="J1363" s="13">
        <v>0</v>
      </c>
      <c r="K1363" s="14" t="str">
        <f t="shared" si="367"/>
        <v>Twitter for Android</v>
      </c>
      <c r="L1363" s="13">
        <v>312</v>
      </c>
      <c r="M1363" s="13">
        <v>771</v>
      </c>
      <c r="N1363" s="13">
        <v>4</v>
      </c>
      <c r="O1363" s="15"/>
      <c r="P1363" s="6">
        <v>41118.539039351854</v>
      </c>
      <c r="Q1363" s="16" t="s">
        <v>66</v>
      </c>
      <c r="R1363" s="17" t="s">
        <v>4402</v>
      </c>
      <c r="S1363" s="12"/>
      <c r="T1363" s="12"/>
      <c r="U1363" s="10" t="str">
        <f>HYPERLINK("https://pbs.twimg.com/profile_images/938046122437828609/uuGn9MXS.jpg","View")</f>
        <v>View</v>
      </c>
    </row>
    <row r="1364" spans="1:21" ht="51">
      <c r="A1364" s="6">
        <v>43419.04482638889</v>
      </c>
      <c r="B1364" s="7" t="str">
        <f>HYPERLINK("https://twitter.com/UlisesGamez10","@UlisesGamez10")</f>
        <v>@UlisesGamez10</v>
      </c>
      <c r="C1364" s="8" t="s">
        <v>23</v>
      </c>
      <c r="D1364" s="9" t="s">
        <v>4403</v>
      </c>
      <c r="E1364" s="10" t="str">
        <f>HYPERLINK("https://twitter.com/UlisesGamez10/status/1062858857591042049","1062858857591042049")</f>
        <v>1062858857591042049</v>
      </c>
      <c r="F1364" s="12"/>
      <c r="G1364" s="12"/>
      <c r="H1364" s="12"/>
      <c r="I1364" s="13">
        <v>0</v>
      </c>
      <c r="J1364" s="13">
        <v>0</v>
      </c>
      <c r="K1364" s="14" t="str">
        <f t="shared" si="367"/>
        <v>Twitter for Android</v>
      </c>
      <c r="L1364" s="13">
        <v>1162</v>
      </c>
      <c r="M1364" s="13">
        <v>5000</v>
      </c>
      <c r="N1364" s="13">
        <v>0</v>
      </c>
      <c r="O1364" s="15"/>
      <c r="P1364" s="6">
        <v>43190.59783564815</v>
      </c>
      <c r="Q1364" s="16" t="s">
        <v>25</v>
      </c>
      <c r="R1364" s="17" t="s">
        <v>27</v>
      </c>
      <c r="S1364" s="12"/>
      <c r="T1364" s="12"/>
      <c r="U1364" s="10" t="str">
        <f>HYPERLINK("https://pbs.twimg.com/profile_images/1031158722586980352/ItGPtjBj.jpg","View")</f>
        <v>View</v>
      </c>
    </row>
    <row r="1365" spans="1:21" ht="51">
      <c r="A1365" s="6">
        <v>43419.04305555555</v>
      </c>
      <c r="B1365" s="7" t="str">
        <f t="shared" ref="B1365:B1366" si="370">HYPERLINK("https://twitter.com/bitMomentum","@bitMomentum")</f>
        <v>@bitMomentum</v>
      </c>
      <c r="C1365" s="8" t="s">
        <v>368</v>
      </c>
      <c r="D1365" s="9" t="s">
        <v>4406</v>
      </c>
      <c r="E1365" s="10" t="str">
        <f>HYPERLINK("https://twitter.com/bitMomentum/status/1062858215606620161","1062858215606620161")</f>
        <v>1062858215606620161</v>
      </c>
      <c r="F1365" s="12"/>
      <c r="G1365" s="12"/>
      <c r="H1365" s="12"/>
      <c r="I1365" s="13">
        <v>0</v>
      </c>
      <c r="J1365" s="13">
        <v>0</v>
      </c>
      <c r="K1365" s="14" t="str">
        <f t="shared" ref="K1365:K1366" si="371">HYPERLINK("http://www.bitmomentum.com","bitMomentum Bot")</f>
        <v>bitMomentum Bot</v>
      </c>
      <c r="L1365" s="13">
        <v>10132</v>
      </c>
      <c r="M1365" s="13">
        <v>1060</v>
      </c>
      <c r="N1365" s="13">
        <v>267</v>
      </c>
      <c r="O1365" s="15"/>
      <c r="P1365" s="6">
        <v>41608.667511574073</v>
      </c>
      <c r="Q1365" s="12"/>
      <c r="R1365" s="17" t="s">
        <v>371</v>
      </c>
      <c r="S1365" s="11" t="s">
        <v>372</v>
      </c>
      <c r="T1365" s="12"/>
      <c r="U1365" s="10" t="str">
        <f t="shared" ref="U1365:U1366" si="372">HYPERLINK("https://pbs.twimg.com/profile_images/378800000862185241/20ij2H3u.png","View")</f>
        <v>View</v>
      </c>
    </row>
    <row r="1366" spans="1:21" ht="51">
      <c r="A1366" s="6">
        <v>43419.042361111111</v>
      </c>
      <c r="B1366" s="7" t="str">
        <f t="shared" si="370"/>
        <v>@bitMomentum</v>
      </c>
      <c r="C1366" s="8" t="s">
        <v>368</v>
      </c>
      <c r="D1366" s="9" t="s">
        <v>4410</v>
      </c>
      <c r="E1366" s="10" t="str">
        <f>HYPERLINK("https://twitter.com/bitMomentum/status/1062857963927412742","1062857963927412742")</f>
        <v>1062857963927412742</v>
      </c>
      <c r="F1366" s="12"/>
      <c r="G1366" s="12"/>
      <c r="H1366" s="12"/>
      <c r="I1366" s="13">
        <v>0</v>
      </c>
      <c r="J1366" s="13">
        <v>0</v>
      </c>
      <c r="K1366" s="14" t="str">
        <f t="shared" si="371"/>
        <v>bitMomentum Bot</v>
      </c>
      <c r="L1366" s="13">
        <v>10132</v>
      </c>
      <c r="M1366" s="13">
        <v>1060</v>
      </c>
      <c r="N1366" s="13">
        <v>267</v>
      </c>
      <c r="O1366" s="15"/>
      <c r="P1366" s="6">
        <v>41608.667511574073</v>
      </c>
      <c r="Q1366" s="12"/>
      <c r="R1366" s="17" t="s">
        <v>371</v>
      </c>
      <c r="S1366" s="11" t="s">
        <v>372</v>
      </c>
      <c r="T1366" s="12"/>
      <c r="U1366" s="10" t="str">
        <f t="shared" si="372"/>
        <v>View</v>
      </c>
    </row>
    <row r="1367" spans="1:21" ht="51">
      <c r="A1367" s="6">
        <v>43419.041631944448</v>
      </c>
      <c r="B1367" s="7" t="str">
        <f>HYPERLINK("https://twitter.com/StrifeMarco","@StrifeMarco")</f>
        <v>@StrifeMarco</v>
      </c>
      <c r="C1367" s="8" t="s">
        <v>5271</v>
      </c>
      <c r="D1367" s="9" t="s">
        <v>5272</v>
      </c>
      <c r="E1367" s="10" t="str">
        <f>HYPERLINK("https://twitter.com/StrifeMarco/status/1062857699992526848","1062857699992526848")</f>
        <v>1062857699992526848</v>
      </c>
      <c r="F1367" s="11" t="s">
        <v>5274</v>
      </c>
      <c r="G1367" s="12"/>
      <c r="H1367" s="12"/>
      <c r="I1367" s="13">
        <v>0</v>
      </c>
      <c r="J1367" s="13">
        <v>0</v>
      </c>
      <c r="K1367" s="14" t="str">
        <f>HYPERLINK("http://twitter.com/download/android","Twitter for Android")</f>
        <v>Twitter for Android</v>
      </c>
      <c r="L1367" s="13">
        <v>69</v>
      </c>
      <c r="M1367" s="13">
        <v>625</v>
      </c>
      <c r="N1367" s="13">
        <v>0</v>
      </c>
      <c r="O1367" s="15"/>
      <c r="P1367" s="6">
        <v>42489.475231481483</v>
      </c>
      <c r="Q1367" s="12"/>
      <c r="R1367" s="17" t="s">
        <v>5277</v>
      </c>
      <c r="S1367" s="11" t="s">
        <v>5278</v>
      </c>
      <c r="T1367" s="12"/>
      <c r="U1367" s="10" t="str">
        <f>HYPERLINK("https://pbs.twimg.com/profile_images/725980587165622272/5Jyj3U2X.jpg","View")</f>
        <v>View</v>
      </c>
    </row>
    <row r="1368" spans="1:21" ht="91.8">
      <c r="A1368" s="6">
        <v>43419.041192129633</v>
      </c>
      <c r="B1368" s="7" t="str">
        <f>HYPERLINK("https://twitter.com/maca_puentes","@maca_puentes")</f>
        <v>@maca_puentes</v>
      </c>
      <c r="C1368" s="8" t="s">
        <v>4412</v>
      </c>
      <c r="D1368" s="9" t="s">
        <v>4413</v>
      </c>
      <c r="E1368" s="10" t="str">
        <f>HYPERLINK("https://twitter.com/maca_puentes/status/1062857543003844608","1062857543003844608")</f>
        <v>1062857543003844608</v>
      </c>
      <c r="F1368" s="11" t="s">
        <v>4046</v>
      </c>
      <c r="G1368" s="11" t="s">
        <v>4047</v>
      </c>
      <c r="H1368" s="12"/>
      <c r="I1368" s="13">
        <v>2</v>
      </c>
      <c r="J1368" s="13">
        <v>6</v>
      </c>
      <c r="K1368" s="14" t="str">
        <f t="shared" ref="K1368:K1371" si="373">HYPERLINK("http://twitter.com/download/iphone","Twitter for iPhone")</f>
        <v>Twitter for iPhone</v>
      </c>
      <c r="L1368" s="13">
        <v>2566</v>
      </c>
      <c r="M1368" s="13">
        <v>2298</v>
      </c>
      <c r="N1368" s="13">
        <v>59</v>
      </c>
      <c r="O1368" s="15"/>
      <c r="P1368" s="6">
        <v>40593.666261574072</v>
      </c>
      <c r="Q1368" s="16" t="s">
        <v>66</v>
      </c>
      <c r="R1368" s="17" t="s">
        <v>4414</v>
      </c>
      <c r="S1368" s="11" t="s">
        <v>4415</v>
      </c>
      <c r="T1368" s="12"/>
      <c r="U1368" s="10" t="str">
        <f>HYPERLINK("https://pbs.twimg.com/profile_images/1052008173622714368/HxkSJF40.jpg","View")</f>
        <v>View</v>
      </c>
    </row>
    <row r="1369" spans="1:21" ht="102">
      <c r="A1369" s="6">
        <v>43419.022893518515</v>
      </c>
      <c r="B1369" s="7" t="str">
        <f>HYPERLINK("https://twitter.com/IdiazAyuso","@IdiazAyuso")</f>
        <v>@IdiazAyuso</v>
      </c>
      <c r="C1369" s="8" t="s">
        <v>4416</v>
      </c>
      <c r="D1369" s="9" t="s">
        <v>4417</v>
      </c>
      <c r="E1369" s="10" t="str">
        <f>HYPERLINK("https://twitter.com/IdiazAyuso/status/1062850909917667329","1062850909917667329")</f>
        <v>1062850909917667329</v>
      </c>
      <c r="F1369" s="11" t="s">
        <v>4418</v>
      </c>
      <c r="G1369" s="11" t="s">
        <v>4047</v>
      </c>
      <c r="H1369" s="12"/>
      <c r="I1369" s="13">
        <v>542</v>
      </c>
      <c r="J1369" s="13">
        <v>1006</v>
      </c>
      <c r="K1369" s="14" t="str">
        <f t="shared" si="373"/>
        <v>Twitter for iPhone</v>
      </c>
      <c r="L1369" s="13">
        <v>19365</v>
      </c>
      <c r="M1369" s="13">
        <v>10437</v>
      </c>
      <c r="N1369" s="13">
        <v>375</v>
      </c>
      <c r="O1369" s="23" t="s">
        <v>186</v>
      </c>
      <c r="P1369" s="6">
        <v>40302.553541666668</v>
      </c>
      <c r="Q1369" s="16" t="s">
        <v>4421</v>
      </c>
      <c r="R1369" s="17" t="s">
        <v>4422</v>
      </c>
      <c r="S1369" s="12"/>
      <c r="T1369" s="12"/>
      <c r="U1369" s="10" t="str">
        <f>HYPERLINK("https://pbs.twimg.com/profile_images/1058347348106113024/G6LGyzwU.jpg","View")</f>
        <v>View</v>
      </c>
    </row>
    <row r="1370" spans="1:21" ht="51">
      <c r="A1370" s="6">
        <v>43419.021874999999</v>
      </c>
      <c r="B1370" s="7" t="str">
        <f>HYPERLINK("https://twitter.com/Jfdezgo90","@Jfdezgo90")</f>
        <v>@Jfdezgo90</v>
      </c>
      <c r="C1370" s="8" t="s">
        <v>2522</v>
      </c>
      <c r="D1370" s="9" t="s">
        <v>4426</v>
      </c>
      <c r="E1370" s="10" t="str">
        <f>HYPERLINK("https://twitter.com/Jfdezgo90/status/1062850541406076934","1062850541406076934")</f>
        <v>1062850541406076934</v>
      </c>
      <c r="F1370" s="12"/>
      <c r="G1370" s="12"/>
      <c r="H1370" s="12"/>
      <c r="I1370" s="13">
        <v>0</v>
      </c>
      <c r="J1370" s="13">
        <v>0</v>
      </c>
      <c r="K1370" s="14" t="str">
        <f t="shared" si="373"/>
        <v>Twitter for iPhone</v>
      </c>
      <c r="L1370" s="13">
        <v>1899</v>
      </c>
      <c r="M1370" s="13">
        <v>4115</v>
      </c>
      <c r="N1370" s="13">
        <v>13</v>
      </c>
      <c r="O1370" s="15"/>
      <c r="P1370" s="6">
        <v>41800.661921296298</v>
      </c>
      <c r="Q1370" s="16" t="s">
        <v>2524</v>
      </c>
      <c r="R1370" s="17" t="s">
        <v>2525</v>
      </c>
      <c r="S1370" s="11" t="s">
        <v>2526</v>
      </c>
      <c r="T1370" s="12"/>
      <c r="U1370" s="10" t="str">
        <f>HYPERLINK("https://pbs.twimg.com/profile_images/1013847005817442306/8BV0q5Ut.jpg","View")</f>
        <v>View</v>
      </c>
    </row>
    <row r="1371" spans="1:21" ht="40.799999999999997">
      <c r="A1371" s="6">
        <v>43419.016828703709</v>
      </c>
      <c r="B1371" s="7" t="str">
        <f>HYPERLINK("https://twitter.com/policiah50","@policiah50")</f>
        <v>@policiah50</v>
      </c>
      <c r="C1371" s="8" t="s">
        <v>4427</v>
      </c>
      <c r="D1371" s="9" t="s">
        <v>4428</v>
      </c>
      <c r="E1371" s="10" t="str">
        <f>HYPERLINK("https://twitter.com/policiah50/status/1062848711397650433","1062848711397650433")</f>
        <v>1062848711397650433</v>
      </c>
      <c r="F1371" s="11" t="s">
        <v>4431</v>
      </c>
      <c r="G1371" s="12"/>
      <c r="H1371" s="12"/>
      <c r="I1371" s="13">
        <v>4</v>
      </c>
      <c r="J1371" s="13">
        <v>6</v>
      </c>
      <c r="K1371" s="14" t="str">
        <f t="shared" si="373"/>
        <v>Twitter for iPhone</v>
      </c>
      <c r="L1371" s="13">
        <v>1280</v>
      </c>
      <c r="M1371" s="13">
        <v>1343</v>
      </c>
      <c r="N1371" s="13">
        <v>4</v>
      </c>
      <c r="O1371" s="15"/>
      <c r="P1371" s="6">
        <v>43288.995671296296</v>
      </c>
      <c r="Q1371" s="12"/>
      <c r="R1371" s="17" t="s">
        <v>4433</v>
      </c>
      <c r="S1371" s="11" t="s">
        <v>4434</v>
      </c>
      <c r="T1371" s="12"/>
      <c r="U1371" s="10" t="str">
        <f>HYPERLINK("https://pbs.twimg.com/profile_images/1015725326138331137/0WIldVLK.jpg","View")</f>
        <v>View</v>
      </c>
    </row>
    <row r="1372" spans="1:21" ht="81.599999999999994">
      <c r="A1372" s="6">
        <v>43419.014965277776</v>
      </c>
      <c r="B1372" s="7" t="str">
        <f>HYPERLINK("https://twitter.com/vox_torrevieja_","@vox_torrevieja_")</f>
        <v>@vox_torrevieja_</v>
      </c>
      <c r="C1372" s="8" t="s">
        <v>3695</v>
      </c>
      <c r="D1372" s="9" t="s">
        <v>4436</v>
      </c>
      <c r="E1372" s="10" t="str">
        <f>HYPERLINK("https://twitter.com/vox_torrevieja_/status/1062848035800170497","1062848035800170497")</f>
        <v>1062848035800170497</v>
      </c>
      <c r="F1372" s="11" t="s">
        <v>4438</v>
      </c>
      <c r="G1372" s="11" t="s">
        <v>4439</v>
      </c>
      <c r="H1372" s="12"/>
      <c r="I1372" s="13">
        <v>4</v>
      </c>
      <c r="J1372" s="13">
        <v>7</v>
      </c>
      <c r="K1372" s="14" t="str">
        <f>HYPERLINK("https://about.twitter.com/products/tweetdeck","TweetDeck")</f>
        <v>TweetDeck</v>
      </c>
      <c r="L1372" s="13">
        <v>653</v>
      </c>
      <c r="M1372" s="13">
        <v>305</v>
      </c>
      <c r="N1372" s="13">
        <v>3</v>
      </c>
      <c r="O1372" s="15"/>
      <c r="P1372" s="6">
        <v>43189.719652777778</v>
      </c>
      <c r="Q1372" s="16" t="s">
        <v>3699</v>
      </c>
      <c r="R1372" s="17" t="s">
        <v>3700</v>
      </c>
      <c r="S1372" s="11" t="s">
        <v>2045</v>
      </c>
      <c r="T1372" s="12"/>
      <c r="U1372" s="10" t="str">
        <f>HYPERLINK("https://pbs.twimg.com/profile_images/1037108220995817473/AnLc4-v6.jpg","View")</f>
        <v>View</v>
      </c>
    </row>
    <row r="1373" spans="1:21" ht="40.799999999999997">
      <c r="A1373" s="6">
        <v>43419.012245370366</v>
      </c>
      <c r="B1373" s="7" t="str">
        <f>HYPERLINK("https://twitter.com/Vox_Murcia","@Vox_Murcia")</f>
        <v>@Vox_Murcia</v>
      </c>
      <c r="C1373" s="8" t="s">
        <v>3374</v>
      </c>
      <c r="D1373" s="9" t="s">
        <v>4441</v>
      </c>
      <c r="E1373" s="10" t="str">
        <f>HYPERLINK("https://twitter.com/Vox_Murcia/status/1062847053540311046","1062847053540311046")</f>
        <v>1062847053540311046</v>
      </c>
      <c r="F1373" s="11" t="s">
        <v>240</v>
      </c>
      <c r="G1373" s="11" t="s">
        <v>4442</v>
      </c>
      <c r="H1373" s="12"/>
      <c r="I1373" s="13">
        <v>34</v>
      </c>
      <c r="J1373" s="13">
        <v>55</v>
      </c>
      <c r="K1373" s="14" t="str">
        <f>HYPERLINK("http://twitter.com","Twitter Web Client")</f>
        <v>Twitter Web Client</v>
      </c>
      <c r="L1373" s="13">
        <v>3081</v>
      </c>
      <c r="M1373" s="13">
        <v>3585</v>
      </c>
      <c r="N1373" s="13">
        <v>45</v>
      </c>
      <c r="O1373" s="15"/>
      <c r="P1373" s="6">
        <v>41706.990370370375</v>
      </c>
      <c r="Q1373" s="16" t="s">
        <v>3376</v>
      </c>
      <c r="R1373" s="17" t="s">
        <v>3377</v>
      </c>
      <c r="S1373" s="11" t="s">
        <v>187</v>
      </c>
      <c r="T1373" s="12"/>
      <c r="U1373" s="10" t="str">
        <f>HYPERLINK("https://pbs.twimg.com/profile_images/1007020887571419136/2qcNDfwR.jpg","View")</f>
        <v>View</v>
      </c>
    </row>
    <row r="1374" spans="1:21" ht="40.799999999999997">
      <c r="A1374" s="6">
        <v>43419.009594907402</v>
      </c>
      <c r="B1374" s="7" t="str">
        <f>HYPERLINK("https://twitter.com/el_veintiseis","@el_veintiseis")</f>
        <v>@el_veintiseis</v>
      </c>
      <c r="C1374" s="8" t="s">
        <v>4444</v>
      </c>
      <c r="D1374" s="9" t="s">
        <v>4445</v>
      </c>
      <c r="E1374" s="10" t="str">
        <f>HYPERLINK("https://twitter.com/el_veintiseis/status/1062846092906319872","1062846092906319872")</f>
        <v>1062846092906319872</v>
      </c>
      <c r="F1374" s="12"/>
      <c r="G1374" s="11" t="s">
        <v>4449</v>
      </c>
      <c r="H1374" s="12"/>
      <c r="I1374" s="13">
        <v>0</v>
      </c>
      <c r="J1374" s="13">
        <v>0</v>
      </c>
      <c r="K1374" s="14" t="str">
        <f>HYPERLINK("http://twitter.com/download/android","Twitter for Android")</f>
        <v>Twitter for Android</v>
      </c>
      <c r="L1374" s="13">
        <v>676</v>
      </c>
      <c r="M1374" s="13">
        <v>577</v>
      </c>
      <c r="N1374" s="13">
        <v>7</v>
      </c>
      <c r="O1374" s="15"/>
      <c r="P1374" s="6">
        <v>42591.951817129629</v>
      </c>
      <c r="Q1374" s="16" t="s">
        <v>4450</v>
      </c>
      <c r="R1374" s="17" t="s">
        <v>4451</v>
      </c>
      <c r="S1374" s="12"/>
      <c r="T1374" s="12"/>
      <c r="U1374" s="10" t="str">
        <f>HYPERLINK("https://pbs.twimg.com/profile_images/1063166517418823686/-KI1km3c.jpg","View")</f>
        <v>View</v>
      </c>
    </row>
    <row r="1375" spans="1:21" ht="51">
      <c r="A1375" s="6">
        <v>43419.001388888893</v>
      </c>
      <c r="B1375" s="7" t="str">
        <f>HYPERLINK("https://twitter.com/bitMomentum","@bitMomentum")</f>
        <v>@bitMomentum</v>
      </c>
      <c r="C1375" s="8" t="s">
        <v>368</v>
      </c>
      <c r="D1375" s="9" t="s">
        <v>4452</v>
      </c>
      <c r="E1375" s="10" t="str">
        <f>HYPERLINK("https://twitter.com/bitMomentum/status/1062843116129001472","1062843116129001472")</f>
        <v>1062843116129001472</v>
      </c>
      <c r="F1375" s="12"/>
      <c r="G1375" s="12"/>
      <c r="H1375" s="12"/>
      <c r="I1375" s="13">
        <v>0</v>
      </c>
      <c r="J1375" s="13">
        <v>0</v>
      </c>
      <c r="K1375" s="14" t="str">
        <f>HYPERLINK("http://www.bitmomentum.com","bitMomentum Bot")</f>
        <v>bitMomentum Bot</v>
      </c>
      <c r="L1375" s="13">
        <v>10132</v>
      </c>
      <c r="M1375" s="13">
        <v>1060</v>
      </c>
      <c r="N1375" s="13">
        <v>267</v>
      </c>
      <c r="O1375" s="15"/>
      <c r="P1375" s="6">
        <v>41608.667511574073</v>
      </c>
      <c r="Q1375" s="12"/>
      <c r="R1375" s="17" t="s">
        <v>371</v>
      </c>
      <c r="S1375" s="11" t="s">
        <v>372</v>
      </c>
      <c r="T1375" s="12"/>
      <c r="U1375" s="10" t="str">
        <f>HYPERLINK("https://pbs.twimg.com/profile_images/378800000862185241/20ij2H3u.png","View")</f>
        <v>View</v>
      </c>
    </row>
    <row r="1376" spans="1:21" ht="91.8">
      <c r="A1376" s="6">
        <v>43419.00136574074</v>
      </c>
      <c r="B1376" s="7" t="str">
        <f>HYPERLINK("https://twitter.com/AlberRoC","@AlberRoC")</f>
        <v>@AlberRoC</v>
      </c>
      <c r="C1376" s="8" t="s">
        <v>2243</v>
      </c>
      <c r="D1376" s="9" t="s">
        <v>4453</v>
      </c>
      <c r="E1376" s="10" t="str">
        <f>HYPERLINK("https://twitter.com/AlberRoC/status/1062843107803361280","1062843107803361280")</f>
        <v>1062843107803361280</v>
      </c>
      <c r="F1376" s="11" t="s">
        <v>4046</v>
      </c>
      <c r="G1376" s="11" t="s">
        <v>4047</v>
      </c>
      <c r="H1376" s="12"/>
      <c r="I1376" s="13">
        <v>0</v>
      </c>
      <c r="J1376" s="13">
        <v>2</v>
      </c>
      <c r="K1376" s="14" t="str">
        <f>HYPERLINK("http://twitter.com/#!/download/ipad","Twitter for iPad")</f>
        <v>Twitter for iPad</v>
      </c>
      <c r="L1376" s="13">
        <v>2198</v>
      </c>
      <c r="M1376" s="13">
        <v>2829</v>
      </c>
      <c r="N1376" s="13">
        <v>32</v>
      </c>
      <c r="O1376" s="15"/>
      <c r="P1376" s="6">
        <v>40661.015798611115</v>
      </c>
      <c r="Q1376" s="16" t="s">
        <v>2246</v>
      </c>
      <c r="R1376" s="17" t="s">
        <v>2247</v>
      </c>
      <c r="S1376" s="12"/>
      <c r="T1376" s="12"/>
      <c r="U1376" s="10" t="str">
        <f>HYPERLINK("https://pbs.twimg.com/profile_images/1051485436210794496/wxF7GSqc.jpg","View")</f>
        <v>View</v>
      </c>
    </row>
    <row r="1377" spans="1:21" ht="40.799999999999997">
      <c r="A1377" s="6">
        <v>43419.000694444447</v>
      </c>
      <c r="B1377" s="7" t="str">
        <f>HYPERLINK("https://twitter.com/bitMomentum","@bitMomentum")</f>
        <v>@bitMomentum</v>
      </c>
      <c r="C1377" s="8" t="s">
        <v>368</v>
      </c>
      <c r="D1377" s="9" t="s">
        <v>4454</v>
      </c>
      <c r="E1377" s="10" t="str">
        <f>HYPERLINK("https://twitter.com/bitMomentum/status/1062842864382685185","1062842864382685185")</f>
        <v>1062842864382685185</v>
      </c>
      <c r="F1377" s="12"/>
      <c r="G1377" s="12"/>
      <c r="H1377" s="12"/>
      <c r="I1377" s="13">
        <v>0</v>
      </c>
      <c r="J1377" s="13">
        <v>0</v>
      </c>
      <c r="K1377" s="14" t="str">
        <f>HYPERLINK("http://www.bitmomentum.com","bitMomentum Bot")</f>
        <v>bitMomentum Bot</v>
      </c>
      <c r="L1377" s="13">
        <v>10132</v>
      </c>
      <c r="M1377" s="13">
        <v>1060</v>
      </c>
      <c r="N1377" s="13">
        <v>267</v>
      </c>
      <c r="O1377" s="15"/>
      <c r="P1377" s="6">
        <v>41608.667511574073</v>
      </c>
      <c r="Q1377" s="12"/>
      <c r="R1377" s="17" t="s">
        <v>371</v>
      </c>
      <c r="S1377" s="11" t="s">
        <v>372</v>
      </c>
      <c r="T1377" s="12"/>
      <c r="U1377" s="10" t="str">
        <f>HYPERLINK("https://pbs.twimg.com/profile_images/378800000862185241/20ij2H3u.png","View")</f>
        <v>View</v>
      </c>
    </row>
    <row r="1378" spans="1:21" ht="71.400000000000006">
      <c r="A1378" s="6">
        <v>43418.999791666662</v>
      </c>
      <c r="B1378" s="7" t="str">
        <f>HYPERLINK("https://twitter.com/IndignadoEyA","@IndignadoEyA")</f>
        <v>@IndignadoEyA</v>
      </c>
      <c r="C1378" s="8" t="s">
        <v>4457</v>
      </c>
      <c r="D1378" s="9" t="s">
        <v>4458</v>
      </c>
      <c r="E1378" s="10" t="str">
        <f>HYPERLINK("https://twitter.com/IndignadoEyA/status/1062842536518172672","1062842536518172672")</f>
        <v>1062842536518172672</v>
      </c>
      <c r="F1378" s="12"/>
      <c r="G1378" s="12"/>
      <c r="H1378" s="12"/>
      <c r="I1378" s="13">
        <v>1</v>
      </c>
      <c r="J1378" s="13">
        <v>1</v>
      </c>
      <c r="K1378" s="14" t="str">
        <f t="shared" ref="K1378:K1383" si="374">HYPERLINK("http://twitter.com/download/android","Twitter for Android")</f>
        <v>Twitter for Android</v>
      </c>
      <c r="L1378" s="13">
        <v>88</v>
      </c>
      <c r="M1378" s="13">
        <v>555</v>
      </c>
      <c r="N1378" s="13">
        <v>0</v>
      </c>
      <c r="O1378" s="15"/>
      <c r="P1378" s="6">
        <v>43252.850405092591</v>
      </c>
      <c r="Q1378" s="16" t="s">
        <v>1483</v>
      </c>
      <c r="R1378" s="17" t="s">
        <v>4459</v>
      </c>
      <c r="S1378" s="12"/>
      <c r="T1378" s="12"/>
      <c r="U1378" s="10" t="str">
        <f>HYPERLINK("https://pbs.twimg.com/profile_images/1005497505453355008/xvRua6BS.jpg","View")</f>
        <v>View</v>
      </c>
    </row>
    <row r="1379" spans="1:21" ht="51">
      <c r="A1379" s="6">
        <v>43418.995532407411</v>
      </c>
      <c r="B1379" s="7" t="str">
        <f>HYPERLINK("https://twitter.com/FranjhZ","@FranjhZ")</f>
        <v>@FranjhZ</v>
      </c>
      <c r="C1379" s="8" t="s">
        <v>4460</v>
      </c>
      <c r="D1379" s="9" t="s">
        <v>4461</v>
      </c>
      <c r="E1379" s="10" t="str">
        <f>HYPERLINK("https://twitter.com/FranjhZ/status/1062840993987342337","1062840993987342337")</f>
        <v>1062840993987342337</v>
      </c>
      <c r="F1379" s="11" t="s">
        <v>4250</v>
      </c>
      <c r="G1379" s="11" t="s">
        <v>4251</v>
      </c>
      <c r="H1379" s="12"/>
      <c r="I1379" s="13">
        <v>0</v>
      </c>
      <c r="J1379" s="13">
        <v>0</v>
      </c>
      <c r="K1379" s="14" t="str">
        <f t="shared" si="374"/>
        <v>Twitter for Android</v>
      </c>
      <c r="L1379" s="13">
        <v>601</v>
      </c>
      <c r="M1379" s="13">
        <v>106</v>
      </c>
      <c r="N1379" s="13">
        <v>15</v>
      </c>
      <c r="O1379" s="15"/>
      <c r="P1379" s="6">
        <v>40220.730543981481</v>
      </c>
      <c r="Q1379" s="16" t="s">
        <v>4462</v>
      </c>
      <c r="R1379" s="17" t="s">
        <v>4463</v>
      </c>
      <c r="S1379" s="11" t="s">
        <v>4464</v>
      </c>
      <c r="T1379" s="12"/>
      <c r="U1379" s="10" t="str">
        <f>HYPERLINK("https://pbs.twimg.com/profile_images/1057877598901075968/pKwrgswf.jpg","View")</f>
        <v>View</v>
      </c>
    </row>
    <row r="1380" spans="1:21" ht="30.6">
      <c r="A1380" s="6">
        <v>43418.992060185185</v>
      </c>
      <c r="B1380" s="7" t="str">
        <f>HYPERLINK("https://twitter.com/DeMeison","@DeMeison")</f>
        <v>@DeMeison</v>
      </c>
      <c r="C1380" s="8" t="s">
        <v>1435</v>
      </c>
      <c r="D1380" s="9" t="s">
        <v>5329</v>
      </c>
      <c r="E1380" s="10" t="str">
        <f>HYPERLINK("https://twitter.com/DeMeison/status/1062839737294168065","1062839737294168065")</f>
        <v>1062839737294168065</v>
      </c>
      <c r="F1380" s="12"/>
      <c r="G1380" s="12"/>
      <c r="H1380" s="12"/>
      <c r="I1380" s="13">
        <v>3</v>
      </c>
      <c r="J1380" s="13">
        <v>11</v>
      </c>
      <c r="K1380" s="14" t="str">
        <f t="shared" si="374"/>
        <v>Twitter for Android</v>
      </c>
      <c r="L1380" s="13">
        <v>1567</v>
      </c>
      <c r="M1380" s="13">
        <v>1236</v>
      </c>
      <c r="N1380" s="13">
        <v>24</v>
      </c>
      <c r="O1380" s="15"/>
      <c r="P1380" s="6">
        <v>40711.818657407406</v>
      </c>
      <c r="Q1380" s="16" t="s">
        <v>1439</v>
      </c>
      <c r="R1380" s="17" t="s">
        <v>1440</v>
      </c>
      <c r="S1380" s="12"/>
      <c r="T1380" s="12"/>
      <c r="U1380" s="10" t="str">
        <f>HYPERLINK("https://pbs.twimg.com/profile_images/924658553121640448/v126-zQr.jpg","View")</f>
        <v>View</v>
      </c>
    </row>
    <row r="1381" spans="1:21" ht="51">
      <c r="A1381" s="6">
        <v>43418.984652777777</v>
      </c>
      <c r="B1381" s="7" t="str">
        <f>HYPERLINK("https://twitter.com/RaPiqFu","@RaPiqFu")</f>
        <v>@RaPiqFu</v>
      </c>
      <c r="C1381" s="8" t="s">
        <v>1029</v>
      </c>
      <c r="D1381" s="9" t="s">
        <v>4465</v>
      </c>
      <c r="E1381" s="10" t="str">
        <f>HYPERLINK("https://twitter.com/RaPiqFu/status/1062837053652635648","1062837053652635648")</f>
        <v>1062837053652635648</v>
      </c>
      <c r="F1381" s="12"/>
      <c r="G1381" s="12"/>
      <c r="H1381" s="12"/>
      <c r="I1381" s="13">
        <v>2</v>
      </c>
      <c r="J1381" s="13">
        <v>5</v>
      </c>
      <c r="K1381" s="14" t="str">
        <f t="shared" si="374"/>
        <v>Twitter for Android</v>
      </c>
      <c r="L1381" s="13">
        <v>1578</v>
      </c>
      <c r="M1381" s="13">
        <v>808</v>
      </c>
      <c r="N1381" s="13">
        <v>21</v>
      </c>
      <c r="O1381" s="15"/>
      <c r="P1381" s="6">
        <v>40595.905127314814</v>
      </c>
      <c r="Q1381" s="16" t="s">
        <v>953</v>
      </c>
      <c r="R1381" s="17" t="s">
        <v>1031</v>
      </c>
      <c r="S1381" s="12"/>
      <c r="T1381" s="12"/>
      <c r="U1381" s="10" t="str">
        <f>HYPERLINK("https://pbs.twimg.com/profile_images/1059362479975923713/VEYq9v5X.jpg","View")</f>
        <v>View</v>
      </c>
    </row>
    <row r="1382" spans="1:21" ht="30.6">
      <c r="A1382" s="6">
        <v>43418.982974537037</v>
      </c>
      <c r="B1382" s="7" t="str">
        <f>HYPERLINK("https://twitter.com/tonihidalgo65","@tonihidalgo65")</f>
        <v>@tonihidalgo65</v>
      </c>
      <c r="C1382" s="8" t="s">
        <v>4466</v>
      </c>
      <c r="D1382" s="9" t="s">
        <v>4467</v>
      </c>
      <c r="E1382" s="10" t="str">
        <f>HYPERLINK("https://twitter.com/tonihidalgo65/status/1062836445994467328","1062836445994467328")</f>
        <v>1062836445994467328</v>
      </c>
      <c r="F1382" s="12"/>
      <c r="G1382" s="11" t="s">
        <v>4469</v>
      </c>
      <c r="H1382" s="12"/>
      <c r="I1382" s="13">
        <v>0</v>
      </c>
      <c r="J1382" s="13">
        <v>0</v>
      </c>
      <c r="K1382" s="14" t="str">
        <f t="shared" si="374"/>
        <v>Twitter for Android</v>
      </c>
      <c r="L1382" s="13">
        <v>1043</v>
      </c>
      <c r="M1382" s="13">
        <v>1789</v>
      </c>
      <c r="N1382" s="13">
        <v>2</v>
      </c>
      <c r="O1382" s="15"/>
      <c r="P1382" s="6">
        <v>40827.795590277776</v>
      </c>
      <c r="Q1382" s="16" t="s">
        <v>4470</v>
      </c>
      <c r="R1382" s="17" t="s">
        <v>4471</v>
      </c>
      <c r="S1382" s="12"/>
      <c r="T1382" s="12"/>
      <c r="U1382" s="10" t="str">
        <f>HYPERLINK("https://pbs.twimg.com/profile_images/1015677603548663808/MjrPWepo.jpg","View")</f>
        <v>View</v>
      </c>
    </row>
    <row r="1383" spans="1:21" ht="30.6">
      <c r="A1383" s="6">
        <v>43418.982557870375</v>
      </c>
      <c r="B1383" s="7" t="str">
        <f>HYPERLINK("https://twitter.com/patxi2009","@patxi2009")</f>
        <v>@patxi2009</v>
      </c>
      <c r="C1383" s="8" t="s">
        <v>4475</v>
      </c>
      <c r="D1383" s="9" t="s">
        <v>4476</v>
      </c>
      <c r="E1383" s="10" t="str">
        <f>HYPERLINK("https://twitter.com/patxi2009/status/1062836293191811072","1062836293191811072")</f>
        <v>1062836293191811072</v>
      </c>
      <c r="F1383" s="12"/>
      <c r="G1383" s="12"/>
      <c r="H1383" s="12"/>
      <c r="I1383" s="13">
        <v>3</v>
      </c>
      <c r="J1383" s="13">
        <v>10</v>
      </c>
      <c r="K1383" s="14" t="str">
        <f t="shared" si="374"/>
        <v>Twitter for Android</v>
      </c>
      <c r="L1383" s="13">
        <v>4611</v>
      </c>
      <c r="M1383" s="13">
        <v>2549</v>
      </c>
      <c r="N1383" s="13">
        <v>23</v>
      </c>
      <c r="O1383" s="15"/>
      <c r="P1383" s="6">
        <v>39798.329097222224</v>
      </c>
      <c r="Q1383" s="16" t="s">
        <v>4478</v>
      </c>
      <c r="R1383" s="17" t="s">
        <v>4479</v>
      </c>
      <c r="S1383" s="12"/>
      <c r="T1383" s="12"/>
      <c r="U1383" s="10" t="str">
        <f>HYPERLINK("https://pbs.twimg.com/profile_images/1024354520615333888/iKnWZMoc.jpg","View")</f>
        <v>View</v>
      </c>
    </row>
    <row r="1384" spans="1:21" ht="51">
      <c r="A1384" s="6">
        <v>43418.981747685189</v>
      </c>
      <c r="B1384" s="7" t="str">
        <f>HYPERLINK("https://twitter.com/MTorrecillas9","@MTorrecillas9")</f>
        <v>@MTorrecillas9</v>
      </c>
      <c r="C1384" s="8" t="s">
        <v>4483</v>
      </c>
      <c r="D1384" s="9" t="s">
        <v>4484</v>
      </c>
      <c r="E1384" s="10" t="str">
        <f>HYPERLINK("https://twitter.com/MTorrecillas9/status/1062835999741489152","1062835999741489152")</f>
        <v>1062835999741489152</v>
      </c>
      <c r="F1384" s="12"/>
      <c r="G1384" s="12"/>
      <c r="H1384" s="12"/>
      <c r="I1384" s="13">
        <v>0</v>
      </c>
      <c r="J1384" s="13">
        <v>0</v>
      </c>
      <c r="K1384" s="14" t="str">
        <f t="shared" ref="K1384:K1385" si="375">HYPERLINK("http://twitter.com/download/iphone","Twitter for iPhone")</f>
        <v>Twitter for iPhone</v>
      </c>
      <c r="L1384" s="13">
        <v>31</v>
      </c>
      <c r="M1384" s="13">
        <v>107</v>
      </c>
      <c r="N1384" s="13">
        <v>0</v>
      </c>
      <c r="O1384" s="15"/>
      <c r="P1384" s="6">
        <v>43390.89366898148</v>
      </c>
      <c r="Q1384" s="16" t="s">
        <v>44</v>
      </c>
      <c r="R1384" s="17" t="s">
        <v>4485</v>
      </c>
      <c r="S1384" s="12"/>
      <c r="T1384" s="12"/>
      <c r="U1384" s="10" t="str">
        <f>HYPERLINK("https://pbs.twimg.com/profile_images/1052648987705118726/2gHTjoU2.jpg","View")</f>
        <v>View</v>
      </c>
    </row>
    <row r="1385" spans="1:21" ht="51">
      <c r="A1385" s="6">
        <v>43418.981412037036</v>
      </c>
      <c r="B1385" s="7" t="str">
        <f>HYPERLINK("https://twitter.com/sergio_castro_g","@sergio_castro_g")</f>
        <v>@sergio_castro_g</v>
      </c>
      <c r="C1385" s="8" t="s">
        <v>2238</v>
      </c>
      <c r="D1385" s="9" t="s">
        <v>4486</v>
      </c>
      <c r="E1385" s="10" t="str">
        <f>HYPERLINK("https://twitter.com/sergio_castro_g/status/1062835878752673793","1062835878752673793")</f>
        <v>1062835878752673793</v>
      </c>
      <c r="F1385" s="12"/>
      <c r="G1385" s="12"/>
      <c r="H1385" s="12"/>
      <c r="I1385" s="13">
        <v>229</v>
      </c>
      <c r="J1385" s="13">
        <v>294</v>
      </c>
      <c r="K1385" s="14" t="str">
        <f t="shared" si="375"/>
        <v>Twitter for iPhone</v>
      </c>
      <c r="L1385" s="13">
        <v>10773</v>
      </c>
      <c r="M1385" s="13">
        <v>1501</v>
      </c>
      <c r="N1385" s="13">
        <v>44</v>
      </c>
      <c r="O1385" s="15"/>
      <c r="P1385" s="6">
        <v>41953.932233796295</v>
      </c>
      <c r="Q1385" s="16" t="s">
        <v>2240</v>
      </c>
      <c r="R1385" s="17" t="s">
        <v>2241</v>
      </c>
      <c r="S1385" s="11" t="s">
        <v>2242</v>
      </c>
      <c r="T1385" s="12"/>
      <c r="U1385" s="10" t="str">
        <f>HYPERLINK("https://pbs.twimg.com/profile_images/946151168421629954/-vuHyIDF.jpg","View")</f>
        <v>View</v>
      </c>
    </row>
    <row r="1386" spans="1:21" ht="30.6">
      <c r="A1386" s="6">
        <v>43418.980914351851</v>
      </c>
      <c r="B1386" s="7" t="str">
        <f>HYPERLINK("https://twitter.com/ENGINEER_28","@ENGINEER_28")</f>
        <v>@ENGINEER_28</v>
      </c>
      <c r="C1386" s="8" t="s">
        <v>4487</v>
      </c>
      <c r="D1386" s="9" t="s">
        <v>4488</v>
      </c>
      <c r="E1386" s="10" t="str">
        <f>HYPERLINK("https://twitter.com/ENGINEER_28/status/1062835699492315136","1062835699492315136")</f>
        <v>1062835699492315136</v>
      </c>
      <c r="F1386" s="12"/>
      <c r="G1386" s="12"/>
      <c r="H1386" s="12"/>
      <c r="I1386" s="13">
        <v>82</v>
      </c>
      <c r="J1386" s="13">
        <v>289</v>
      </c>
      <c r="K1386" s="14" t="str">
        <f>HYPERLINK("http://twitter.com/download/android","Twitter for Android")</f>
        <v>Twitter for Android</v>
      </c>
      <c r="L1386" s="13">
        <v>5836</v>
      </c>
      <c r="M1386" s="13">
        <v>2749</v>
      </c>
      <c r="N1386" s="13">
        <v>85</v>
      </c>
      <c r="O1386" s="15"/>
      <c r="P1386" s="6">
        <v>40271.588877314818</v>
      </c>
      <c r="Q1386" s="12"/>
      <c r="R1386" s="17" t="s">
        <v>4489</v>
      </c>
      <c r="S1386" s="12"/>
      <c r="T1386" s="12"/>
      <c r="U1386" s="10" t="str">
        <f>HYPERLINK("https://pbs.twimg.com/profile_images/949755792101658624/mhmQ_LVj.jpg","View")</f>
        <v>View</v>
      </c>
    </row>
    <row r="1387" spans="1:21" ht="81.599999999999994">
      <c r="A1387" s="6">
        <v>43418.979097222225</v>
      </c>
      <c r="B1387" s="7" t="str">
        <f>HYPERLINK("https://twitter.com/nepesh66","@nepesh66")</f>
        <v>@nepesh66</v>
      </c>
      <c r="C1387" s="8" t="s">
        <v>3928</v>
      </c>
      <c r="D1387" s="9" t="s">
        <v>4490</v>
      </c>
      <c r="E1387" s="10" t="str">
        <f>HYPERLINK("https://twitter.com/nepesh66/status/1062835040810348544","1062835040810348544")</f>
        <v>1062835040810348544</v>
      </c>
      <c r="F1387" s="11" t="s">
        <v>4491</v>
      </c>
      <c r="G1387" s="11" t="s">
        <v>4492</v>
      </c>
      <c r="H1387" s="12"/>
      <c r="I1387" s="13">
        <v>1</v>
      </c>
      <c r="J1387" s="13">
        <v>0</v>
      </c>
      <c r="K1387" s="14" t="str">
        <f>HYPERLINK("http://twitter.com","Twitter Web Client")</f>
        <v>Twitter Web Client</v>
      </c>
      <c r="L1387" s="13">
        <v>393</v>
      </c>
      <c r="M1387" s="13">
        <v>418</v>
      </c>
      <c r="N1387" s="13">
        <v>5</v>
      </c>
      <c r="O1387" s="15"/>
      <c r="P1387" s="6">
        <v>39579.265601851854</v>
      </c>
      <c r="Q1387" s="16" t="s">
        <v>3930</v>
      </c>
      <c r="R1387" s="17" t="s">
        <v>3931</v>
      </c>
      <c r="S1387" s="12"/>
      <c r="T1387" s="12"/>
      <c r="U1387" s="10" t="str">
        <f>HYPERLINK("https://pbs.twimg.com/profile_images/903439776354840576/z2uqhZGL.jpg","View")</f>
        <v>View</v>
      </c>
    </row>
    <row r="1388" spans="1:21" ht="40.799999999999997">
      <c r="A1388" s="6">
        <v>43418.977337962962</v>
      </c>
      <c r="B1388" s="7" t="str">
        <f>HYPERLINK("https://twitter.com/voxpinatar","@voxpinatar")</f>
        <v>@voxpinatar</v>
      </c>
      <c r="C1388" s="8" t="s">
        <v>4493</v>
      </c>
      <c r="D1388" s="9" t="s">
        <v>4494</v>
      </c>
      <c r="E1388" s="10" t="str">
        <f>HYPERLINK("https://twitter.com/voxpinatar/status/1062834399706800128","1062834399706800128")</f>
        <v>1062834399706800128</v>
      </c>
      <c r="F1388" s="12"/>
      <c r="G1388" s="11" t="s">
        <v>4495</v>
      </c>
      <c r="H1388" s="12"/>
      <c r="I1388" s="13">
        <v>18</v>
      </c>
      <c r="J1388" s="13">
        <v>38</v>
      </c>
      <c r="K1388" s="14" t="str">
        <f>HYPERLINK("http://twitter.com/download/android","Twitter for Android")</f>
        <v>Twitter for Android</v>
      </c>
      <c r="L1388" s="13">
        <v>65</v>
      </c>
      <c r="M1388" s="13">
        <v>43</v>
      </c>
      <c r="N1388" s="13">
        <v>0</v>
      </c>
      <c r="O1388" s="15"/>
      <c r="P1388" s="6">
        <v>43373.796458333338</v>
      </c>
      <c r="Q1388" s="16" t="s">
        <v>4496</v>
      </c>
      <c r="R1388" s="17" t="s">
        <v>4497</v>
      </c>
      <c r="S1388" s="11" t="s">
        <v>187</v>
      </c>
      <c r="T1388" s="12"/>
      <c r="U1388" s="10" t="str">
        <f>HYPERLINK("https://pbs.twimg.com/profile_images/1046477551768678400/gn56zTTr.jpg","View")</f>
        <v>View</v>
      </c>
    </row>
    <row r="1389" spans="1:21" ht="40.799999999999997">
      <c r="A1389" s="6">
        <v>43418.976157407407</v>
      </c>
      <c r="B1389" s="7" t="str">
        <f>HYPERLINK("https://twitter.com/barbaflau","@barbaflau")</f>
        <v>@barbaflau</v>
      </c>
      <c r="C1389" s="8" t="s">
        <v>4498</v>
      </c>
      <c r="D1389" s="9" t="s">
        <v>4499</v>
      </c>
      <c r="E1389" s="10" t="str">
        <f>HYPERLINK("https://twitter.com/barbaflau/status/1062833975545262082","1062833975545262082")</f>
        <v>1062833975545262082</v>
      </c>
      <c r="F1389" s="12"/>
      <c r="G1389" s="12"/>
      <c r="H1389" s="12"/>
      <c r="I1389" s="13">
        <v>2</v>
      </c>
      <c r="J1389" s="13">
        <v>9</v>
      </c>
      <c r="K1389" s="14" t="str">
        <f>HYPERLINK("http://twitter.com/download/iphone","Twitter for iPhone")</f>
        <v>Twitter for iPhone</v>
      </c>
      <c r="L1389" s="13">
        <v>36</v>
      </c>
      <c r="M1389" s="13">
        <v>42</v>
      </c>
      <c r="N1389" s="13">
        <v>0</v>
      </c>
      <c r="O1389" s="15"/>
      <c r="P1389" s="6">
        <v>43332.748113425929</v>
      </c>
      <c r="Q1389" s="16" t="s">
        <v>4501</v>
      </c>
      <c r="R1389" s="17" t="s">
        <v>4502</v>
      </c>
      <c r="S1389" s="12"/>
      <c r="T1389" s="12"/>
      <c r="U1389" s="10" t="str">
        <f>HYPERLINK("https://pbs.twimg.com/profile_images/1031571298168786944/czPvkOpc.jpg","View")</f>
        <v>View</v>
      </c>
    </row>
    <row r="1390" spans="1:21" ht="81.599999999999994">
      <c r="A1390" s="6">
        <v>43418.973067129627</v>
      </c>
      <c r="B1390" s="7" t="str">
        <f>HYPERLINK("https://twitter.com/alejandrocamp32","@alejandrocamp32")</f>
        <v>@alejandrocamp32</v>
      </c>
      <c r="C1390" s="8" t="s">
        <v>4504</v>
      </c>
      <c r="D1390" s="9" t="s">
        <v>4505</v>
      </c>
      <c r="E1390" s="10" t="str">
        <f>HYPERLINK("https://twitter.com/alejandrocamp32/status/1062832853929607168","1062832853929607168")</f>
        <v>1062832853929607168</v>
      </c>
      <c r="F1390" s="11" t="s">
        <v>4506</v>
      </c>
      <c r="G1390" s="12"/>
      <c r="H1390" s="12"/>
      <c r="I1390" s="13">
        <v>0</v>
      </c>
      <c r="J1390" s="13">
        <v>0</v>
      </c>
      <c r="K1390" s="14" t="str">
        <f>HYPERLINK("https://mobile.twitter.com","Twitter Lite")</f>
        <v>Twitter Lite</v>
      </c>
      <c r="L1390" s="13">
        <v>899</v>
      </c>
      <c r="M1390" s="13">
        <v>1121</v>
      </c>
      <c r="N1390" s="13">
        <v>9</v>
      </c>
      <c r="O1390" s="15"/>
      <c r="P1390" s="6">
        <v>40852.337777777779</v>
      </c>
      <c r="Q1390" s="16" t="s">
        <v>1152</v>
      </c>
      <c r="R1390" s="17" t="s">
        <v>4507</v>
      </c>
      <c r="S1390" s="12"/>
      <c r="T1390" s="12"/>
      <c r="U1390" s="10" t="str">
        <f>HYPERLINK("https://pbs.twimg.com/profile_images/789267224024457216/IGKEvA3i.jpg","View")</f>
        <v>View</v>
      </c>
    </row>
    <row r="1391" spans="1:21" ht="20.399999999999999">
      <c r="A1391" s="6">
        <v>43418.970173611116</v>
      </c>
      <c r="B1391" s="7" t="str">
        <f>HYPERLINK("https://twitter.com/DailyMur","@DailyMur")</f>
        <v>@DailyMur</v>
      </c>
      <c r="C1391" s="8" t="s">
        <v>4204</v>
      </c>
      <c r="D1391" s="9" t="s">
        <v>4206</v>
      </c>
      <c r="E1391" s="10" t="str">
        <f>HYPERLINK("https://twitter.com/DailyMur/status/1062831806926462976","1062831806926462976")</f>
        <v>1062831806926462976</v>
      </c>
      <c r="F1391" s="11" t="s">
        <v>4037</v>
      </c>
      <c r="G1391" s="12"/>
      <c r="H1391" s="12"/>
      <c r="I1391" s="13">
        <v>0</v>
      </c>
      <c r="J1391" s="13">
        <v>0</v>
      </c>
      <c r="K1391" s="14" t="str">
        <f t="shared" ref="K1391:K1394" si="376">HYPERLINK("http://twitter.com/download/android","Twitter for Android")</f>
        <v>Twitter for Android</v>
      </c>
      <c r="L1391" s="13">
        <v>15808</v>
      </c>
      <c r="M1391" s="13">
        <v>15883</v>
      </c>
      <c r="N1391" s="13">
        <v>298</v>
      </c>
      <c r="O1391" s="15"/>
      <c r="P1391" s="6">
        <v>40936.721018518518</v>
      </c>
      <c r="Q1391" s="16" t="s">
        <v>4207</v>
      </c>
      <c r="R1391" s="17" t="s">
        <v>4208</v>
      </c>
      <c r="S1391" s="11" t="s">
        <v>4209</v>
      </c>
      <c r="T1391" s="12"/>
      <c r="U1391" s="10" t="str">
        <f>HYPERLINK("https://pbs.twimg.com/profile_images/497404970980098048/xXi7OSDT.jpeg","View")</f>
        <v>View</v>
      </c>
    </row>
    <row r="1392" spans="1:21" ht="61.2">
      <c r="A1392" s="6">
        <v>43418.969293981485</v>
      </c>
      <c r="B1392" s="7" t="str">
        <f>HYPERLINK("https://twitter.com/RaPiqFu","@RaPiqFu")</f>
        <v>@RaPiqFu</v>
      </c>
      <c r="C1392" s="8" t="s">
        <v>1029</v>
      </c>
      <c r="D1392" s="9" t="s">
        <v>4508</v>
      </c>
      <c r="E1392" s="10" t="str">
        <f>HYPERLINK("https://twitter.com/RaPiqFu/status/1062831486825570304","1062831486825570304")</f>
        <v>1062831486825570304</v>
      </c>
      <c r="F1392" s="12"/>
      <c r="G1392" s="12"/>
      <c r="H1392" s="12"/>
      <c r="I1392" s="13">
        <v>0</v>
      </c>
      <c r="J1392" s="13">
        <v>1</v>
      </c>
      <c r="K1392" s="14" t="str">
        <f t="shared" si="376"/>
        <v>Twitter for Android</v>
      </c>
      <c r="L1392" s="13">
        <v>1578</v>
      </c>
      <c r="M1392" s="13">
        <v>808</v>
      </c>
      <c r="N1392" s="13">
        <v>21</v>
      </c>
      <c r="O1392" s="15"/>
      <c r="P1392" s="6">
        <v>40595.905127314814</v>
      </c>
      <c r="Q1392" s="16" t="s">
        <v>953</v>
      </c>
      <c r="R1392" s="17" t="s">
        <v>1031</v>
      </c>
      <c r="S1392" s="12"/>
      <c r="T1392" s="12"/>
      <c r="U1392" s="10" t="str">
        <f>HYPERLINK("https://pbs.twimg.com/profile_images/1059362479975923713/VEYq9v5X.jpg","View")</f>
        <v>View</v>
      </c>
    </row>
    <row r="1393" spans="1:21" ht="40.799999999999997">
      <c r="A1393" s="6">
        <v>43418.963703703703</v>
      </c>
      <c r="B1393" s="7" t="str">
        <f>HYPERLINK("https://twitter.com/mrcorefusion","@mrcorefusion")</f>
        <v>@mrcorefusion</v>
      </c>
      <c r="C1393" s="8" t="s">
        <v>4509</v>
      </c>
      <c r="D1393" s="9" t="s">
        <v>4510</v>
      </c>
      <c r="E1393" s="10" t="str">
        <f>HYPERLINK("https://twitter.com/mrcorefusion/status/1062829460880322560","1062829460880322560")</f>
        <v>1062829460880322560</v>
      </c>
      <c r="F1393" s="12"/>
      <c r="G1393" s="12"/>
      <c r="H1393" s="12"/>
      <c r="I1393" s="13">
        <v>0</v>
      </c>
      <c r="J1393" s="13">
        <v>3</v>
      </c>
      <c r="K1393" s="14" t="str">
        <f t="shared" si="376"/>
        <v>Twitter for Android</v>
      </c>
      <c r="L1393" s="13">
        <v>181</v>
      </c>
      <c r="M1393" s="13">
        <v>138</v>
      </c>
      <c r="N1393" s="13">
        <v>21</v>
      </c>
      <c r="O1393" s="15"/>
      <c r="P1393" s="6">
        <v>41969.962557870371</v>
      </c>
      <c r="Q1393" s="16" t="s">
        <v>4511</v>
      </c>
      <c r="R1393" s="17" t="s">
        <v>4512</v>
      </c>
      <c r="S1393" s="11" t="s">
        <v>4513</v>
      </c>
      <c r="T1393" s="12"/>
      <c r="U1393" s="10" t="str">
        <f>HYPERLINK("https://pbs.twimg.com/profile_images/918997041526779904/4kyP4i9H.jpg","View")</f>
        <v>View</v>
      </c>
    </row>
    <row r="1394" spans="1:21" ht="40.799999999999997">
      <c r="A1394" s="6">
        <v>43418.962951388894</v>
      </c>
      <c r="B1394" s="7" t="str">
        <f>HYPERLINK("https://twitter.com/Recaredo589","@Recaredo589")</f>
        <v>@Recaredo589</v>
      </c>
      <c r="C1394" s="8" t="s">
        <v>4514</v>
      </c>
      <c r="D1394" s="9" t="s">
        <v>4515</v>
      </c>
      <c r="E1394" s="10" t="str">
        <f>HYPERLINK("https://twitter.com/Recaredo589/status/1062829187680088064","1062829187680088064")</f>
        <v>1062829187680088064</v>
      </c>
      <c r="F1394" s="12"/>
      <c r="G1394" s="12"/>
      <c r="H1394" s="12"/>
      <c r="I1394" s="13">
        <v>0</v>
      </c>
      <c r="J1394" s="13">
        <v>0</v>
      </c>
      <c r="K1394" s="14" t="str">
        <f t="shared" si="376"/>
        <v>Twitter for Android</v>
      </c>
      <c r="L1394" s="13">
        <v>21</v>
      </c>
      <c r="M1394" s="13">
        <v>75</v>
      </c>
      <c r="N1394" s="13">
        <v>0</v>
      </c>
      <c r="O1394" s="15"/>
      <c r="P1394" s="6">
        <v>43381.964305555557</v>
      </c>
      <c r="Q1394" s="12"/>
      <c r="R1394" s="17" t="s">
        <v>4517</v>
      </c>
      <c r="S1394" s="12"/>
      <c r="T1394" s="12"/>
      <c r="U1394" s="10" t="str">
        <f>HYPERLINK("https://pbs.twimg.com/profile_images/1063196106333585408/Wrxk6aj3.jpg","View")</f>
        <v>View</v>
      </c>
    </row>
    <row r="1395" spans="1:21" ht="91.8">
      <c r="A1395" s="6">
        <v>43418.9606712963</v>
      </c>
      <c r="B1395" s="7" t="str">
        <f>HYPERLINK("https://twitter.com/pfbarbadillo","@pfbarbadillo")</f>
        <v>@pfbarbadillo</v>
      </c>
      <c r="C1395" s="8" t="s">
        <v>4518</v>
      </c>
      <c r="D1395" s="9" t="s">
        <v>4519</v>
      </c>
      <c r="E1395" s="10" t="str">
        <f>HYPERLINK("https://twitter.com/pfbarbadillo/status/1062828363423907840","1062828363423907840")</f>
        <v>1062828363423907840</v>
      </c>
      <c r="F1395" s="16" t="s">
        <v>4522</v>
      </c>
      <c r="G1395" s="12"/>
      <c r="H1395" s="12"/>
      <c r="I1395" s="13">
        <v>205</v>
      </c>
      <c r="J1395" s="13">
        <v>288</v>
      </c>
      <c r="K1395" s="14" t="str">
        <f>HYPERLINK("http://twitter.com","Twitter Web Client")</f>
        <v>Twitter Web Client</v>
      </c>
      <c r="L1395" s="13">
        <v>3944</v>
      </c>
      <c r="M1395" s="13">
        <v>338</v>
      </c>
      <c r="N1395" s="13">
        <v>94</v>
      </c>
      <c r="O1395" s="15"/>
      <c r="P1395" s="6">
        <v>41512.773518518516</v>
      </c>
      <c r="Q1395" s="12"/>
      <c r="R1395" s="17" t="s">
        <v>4523</v>
      </c>
      <c r="S1395" s="12"/>
      <c r="T1395" s="12"/>
      <c r="U1395" s="10" t="str">
        <f>HYPERLINK("https://pbs.twimg.com/profile_images/1065391551390584832/RaLFJ1MM.jpg","View")</f>
        <v>View</v>
      </c>
    </row>
    <row r="1396" spans="1:21" ht="51">
      <c r="A1396" s="6">
        <v>43418.960405092592</v>
      </c>
      <c r="B1396" s="7" t="str">
        <f>HYPERLINK("https://twitter.com/AbaloDelgado","@AbaloDelgado")</f>
        <v>@AbaloDelgado</v>
      </c>
      <c r="C1396" s="8" t="s">
        <v>3852</v>
      </c>
      <c r="D1396" s="9" t="s">
        <v>4524</v>
      </c>
      <c r="E1396" s="10" t="str">
        <f>HYPERLINK("https://twitter.com/AbaloDelgado/status/1062828266032128000","1062828266032128000")</f>
        <v>1062828266032128000</v>
      </c>
      <c r="F1396" s="16" t="s">
        <v>4525</v>
      </c>
      <c r="G1396" s="12"/>
      <c r="H1396" s="12"/>
      <c r="I1396" s="13">
        <v>1</v>
      </c>
      <c r="J1396" s="13">
        <v>0</v>
      </c>
      <c r="K1396" s="14" t="str">
        <f>HYPERLINK("http://twitter.com/download/android","Twitter for Android")</f>
        <v>Twitter for Android</v>
      </c>
      <c r="L1396" s="13">
        <v>924</v>
      </c>
      <c r="M1396" s="13">
        <v>275</v>
      </c>
      <c r="N1396" s="13">
        <v>56</v>
      </c>
      <c r="O1396" s="15"/>
      <c r="P1396" s="6">
        <v>42049.682523148149</v>
      </c>
      <c r="Q1396" s="12"/>
      <c r="R1396" s="21"/>
      <c r="S1396" s="12"/>
      <c r="T1396" s="12"/>
      <c r="U1396" s="10" t="str">
        <f>HYPERLINK("https://pbs.twimg.com/profile_images/747444722432675845/gXK16cpA.jpg","View")</f>
        <v>View</v>
      </c>
    </row>
    <row r="1397" spans="1:21" ht="51">
      <c r="A1397" s="6">
        <v>43418.959722222222</v>
      </c>
      <c r="B1397" s="7" t="str">
        <f t="shared" ref="B1397:B1399" si="377">HYPERLINK("https://twitter.com/bitMomentum","@bitMomentum")</f>
        <v>@bitMomentum</v>
      </c>
      <c r="C1397" s="8" t="s">
        <v>368</v>
      </c>
      <c r="D1397" s="9" t="s">
        <v>4527</v>
      </c>
      <c r="E1397" s="10" t="str">
        <f>HYPERLINK("https://twitter.com/bitMomentum/status/1062828016735322112","1062828016735322112")</f>
        <v>1062828016735322112</v>
      </c>
      <c r="F1397" s="12"/>
      <c r="G1397" s="12"/>
      <c r="H1397" s="12"/>
      <c r="I1397" s="13">
        <v>0</v>
      </c>
      <c r="J1397" s="13">
        <v>0</v>
      </c>
      <c r="K1397" s="14" t="str">
        <f t="shared" ref="K1397:K1399" si="378">HYPERLINK("http://www.bitmomentum.com","bitMomentum Bot")</f>
        <v>bitMomentum Bot</v>
      </c>
      <c r="L1397" s="13">
        <v>10132</v>
      </c>
      <c r="M1397" s="13">
        <v>1060</v>
      </c>
      <c r="N1397" s="13">
        <v>267</v>
      </c>
      <c r="O1397" s="15"/>
      <c r="P1397" s="6">
        <v>41608.667511574073</v>
      </c>
      <c r="Q1397" s="12"/>
      <c r="R1397" s="17" t="s">
        <v>371</v>
      </c>
      <c r="S1397" s="11" t="s">
        <v>372</v>
      </c>
      <c r="T1397" s="12"/>
      <c r="U1397" s="10" t="str">
        <f t="shared" ref="U1397:U1399" si="379">HYPERLINK("https://pbs.twimg.com/profile_images/378800000862185241/20ij2H3u.png","View")</f>
        <v>View</v>
      </c>
    </row>
    <row r="1398" spans="1:21" ht="51">
      <c r="A1398" s="6">
        <v>43418.959722222222</v>
      </c>
      <c r="B1398" s="7" t="str">
        <f t="shared" si="377"/>
        <v>@bitMomentum</v>
      </c>
      <c r="C1398" s="8" t="s">
        <v>368</v>
      </c>
      <c r="D1398" s="9" t="s">
        <v>4530</v>
      </c>
      <c r="E1398" s="10" t="str">
        <f>HYPERLINK("https://twitter.com/bitMomentum/status/1062828016609452038","1062828016609452038")</f>
        <v>1062828016609452038</v>
      </c>
      <c r="F1398" s="12"/>
      <c r="G1398" s="12"/>
      <c r="H1398" s="12"/>
      <c r="I1398" s="13">
        <v>0</v>
      </c>
      <c r="J1398" s="13">
        <v>2</v>
      </c>
      <c r="K1398" s="14" t="str">
        <f t="shared" si="378"/>
        <v>bitMomentum Bot</v>
      </c>
      <c r="L1398" s="13">
        <v>10132</v>
      </c>
      <c r="M1398" s="13">
        <v>1060</v>
      </c>
      <c r="N1398" s="13">
        <v>267</v>
      </c>
      <c r="O1398" s="15"/>
      <c r="P1398" s="6">
        <v>41608.667511574073</v>
      </c>
      <c r="Q1398" s="12"/>
      <c r="R1398" s="17" t="s">
        <v>371</v>
      </c>
      <c r="S1398" s="11" t="s">
        <v>372</v>
      </c>
      <c r="T1398" s="12"/>
      <c r="U1398" s="10" t="str">
        <f t="shared" si="379"/>
        <v>View</v>
      </c>
    </row>
    <row r="1399" spans="1:21" ht="40.799999999999997">
      <c r="A1399" s="6">
        <v>43418.959027777775</v>
      </c>
      <c r="B1399" s="7" t="str">
        <f t="shared" si="377"/>
        <v>@bitMomentum</v>
      </c>
      <c r="C1399" s="8" t="s">
        <v>368</v>
      </c>
      <c r="D1399" s="9" t="s">
        <v>4535</v>
      </c>
      <c r="E1399" s="10" t="str">
        <f>HYPERLINK("https://twitter.com/bitMomentum/status/1062827764796022784","1062827764796022784")</f>
        <v>1062827764796022784</v>
      </c>
      <c r="F1399" s="12"/>
      <c r="G1399" s="12"/>
      <c r="H1399" s="12"/>
      <c r="I1399" s="13">
        <v>2</v>
      </c>
      <c r="J1399" s="13">
        <v>2</v>
      </c>
      <c r="K1399" s="14" t="str">
        <f t="shared" si="378"/>
        <v>bitMomentum Bot</v>
      </c>
      <c r="L1399" s="13">
        <v>10132</v>
      </c>
      <c r="M1399" s="13">
        <v>1060</v>
      </c>
      <c r="N1399" s="13">
        <v>267</v>
      </c>
      <c r="O1399" s="15"/>
      <c r="P1399" s="6">
        <v>41608.667511574073</v>
      </c>
      <c r="Q1399" s="12"/>
      <c r="R1399" s="17" t="s">
        <v>371</v>
      </c>
      <c r="S1399" s="11" t="s">
        <v>372</v>
      </c>
      <c r="T1399" s="12"/>
      <c r="U1399" s="10" t="str">
        <f t="shared" si="379"/>
        <v>View</v>
      </c>
    </row>
    <row r="1400" spans="1:21" ht="51">
      <c r="A1400" s="6">
        <v>43418.958055555559</v>
      </c>
      <c r="B1400" s="7" t="str">
        <f>HYPERLINK("https://twitter.com/AbaloDelgado","@AbaloDelgado")</f>
        <v>@AbaloDelgado</v>
      </c>
      <c r="C1400" s="8" t="s">
        <v>3852</v>
      </c>
      <c r="D1400" s="9" t="s">
        <v>4538</v>
      </c>
      <c r="E1400" s="10" t="str">
        <f>HYPERLINK("https://twitter.com/AbaloDelgado/status/1062827412864536581","1062827412864536581")</f>
        <v>1062827412864536581</v>
      </c>
      <c r="F1400" s="11" t="s">
        <v>4539</v>
      </c>
      <c r="G1400" s="11" t="s">
        <v>4540</v>
      </c>
      <c r="H1400" s="12"/>
      <c r="I1400" s="13">
        <v>0</v>
      </c>
      <c r="J1400" s="13">
        <v>0</v>
      </c>
      <c r="K1400" s="14" t="str">
        <f t="shared" ref="K1400:K1401" si="380">HYPERLINK("http://twitter.com/download/android","Twitter for Android")</f>
        <v>Twitter for Android</v>
      </c>
      <c r="L1400" s="13">
        <v>924</v>
      </c>
      <c r="M1400" s="13">
        <v>275</v>
      </c>
      <c r="N1400" s="13">
        <v>56</v>
      </c>
      <c r="O1400" s="15"/>
      <c r="P1400" s="6">
        <v>42049.682523148149</v>
      </c>
      <c r="Q1400" s="12"/>
      <c r="R1400" s="21"/>
      <c r="S1400" s="12"/>
      <c r="T1400" s="12"/>
      <c r="U1400" s="10" t="str">
        <f>HYPERLINK("https://pbs.twimg.com/profile_images/747444722432675845/gXK16cpA.jpg","View")</f>
        <v>View</v>
      </c>
    </row>
    <row r="1401" spans="1:21" ht="91.8">
      <c r="A1401" s="6">
        <v>43418.957604166666</v>
      </c>
      <c r="B1401" s="7" t="str">
        <f>HYPERLINK("https://twitter.com/Churchi30915658","@Churchi30915658")</f>
        <v>@Churchi30915658</v>
      </c>
      <c r="C1401" s="8" t="s">
        <v>4541</v>
      </c>
      <c r="D1401" s="9" t="s">
        <v>4542</v>
      </c>
      <c r="E1401" s="10" t="str">
        <f>HYPERLINK("https://twitter.com/Churchi30915658/status/1062827250528276481","1062827250528276481")</f>
        <v>1062827250528276481</v>
      </c>
      <c r="F1401" s="16" t="s">
        <v>4544</v>
      </c>
      <c r="G1401" s="12"/>
      <c r="H1401" s="12"/>
      <c r="I1401" s="13">
        <v>0</v>
      </c>
      <c r="J1401" s="13">
        <v>0</v>
      </c>
      <c r="K1401" s="14" t="str">
        <f t="shared" si="380"/>
        <v>Twitter for Android</v>
      </c>
      <c r="L1401" s="13">
        <v>78</v>
      </c>
      <c r="M1401" s="13">
        <v>209</v>
      </c>
      <c r="N1401" s="13">
        <v>0</v>
      </c>
      <c r="O1401" s="15"/>
      <c r="P1401" s="6">
        <v>43070.27888888889</v>
      </c>
      <c r="Q1401" s="12"/>
      <c r="R1401" s="17" t="s">
        <v>4546</v>
      </c>
      <c r="S1401" s="12"/>
      <c r="T1401" s="12"/>
      <c r="U1401" s="10" t="str">
        <f>HYPERLINK("https://pbs.twimg.com/profile_images/1031171032391008256/UnNWd8Tx.jpg","View")</f>
        <v>View</v>
      </c>
    </row>
    <row r="1402" spans="1:21" ht="81.599999999999994">
      <c r="A1402" s="6">
        <v>43418.956469907411</v>
      </c>
      <c r="B1402" s="7" t="str">
        <f>HYPERLINK("https://twitter.com/Lucia90647951","@Lucia90647951")</f>
        <v>@Lucia90647951</v>
      </c>
      <c r="C1402" s="8" t="s">
        <v>4548</v>
      </c>
      <c r="D1402" s="9" t="s">
        <v>4549</v>
      </c>
      <c r="E1402" s="10" t="str">
        <f>HYPERLINK("https://twitter.com/Lucia90647951/status/1062826837565431808","1062826837565431808")</f>
        <v>1062826837565431808</v>
      </c>
      <c r="F1402" s="16" t="s">
        <v>4550</v>
      </c>
      <c r="G1402" s="12"/>
      <c r="H1402" s="12"/>
      <c r="I1402" s="13">
        <v>0</v>
      </c>
      <c r="J1402" s="13">
        <v>2</v>
      </c>
      <c r="K1402" s="14" t="str">
        <f>HYPERLINK("http://twitter.com/download/iphone","Twitter for iPhone")</f>
        <v>Twitter for iPhone</v>
      </c>
      <c r="L1402" s="13">
        <v>133</v>
      </c>
      <c r="M1402" s="13">
        <v>284</v>
      </c>
      <c r="N1402" s="13">
        <v>0</v>
      </c>
      <c r="O1402" s="15"/>
      <c r="P1402" s="6">
        <v>43384.95612268518</v>
      </c>
      <c r="Q1402" s="12"/>
      <c r="R1402" s="17" t="s">
        <v>4551</v>
      </c>
      <c r="S1402" s="12"/>
      <c r="T1402" s="12"/>
      <c r="U1402" s="10" t="str">
        <f>HYPERLINK("https://pbs.twimg.com/profile_images/1050493441669562368/LLmfSs9m.jpg","View")</f>
        <v>View</v>
      </c>
    </row>
    <row r="1403" spans="1:21" ht="71.400000000000006">
      <c r="A1403" s="6">
        <v>43418.953680555554</v>
      </c>
      <c r="B1403" s="7" t="str">
        <f>HYPERLINK("https://twitter.com/sosciudadanos","@sosciudadanos")</f>
        <v>@sosciudadanos</v>
      </c>
      <c r="C1403" s="8" t="s">
        <v>1770</v>
      </c>
      <c r="D1403" s="9" t="s">
        <v>4554</v>
      </c>
      <c r="E1403" s="10" t="str">
        <f>HYPERLINK("https://twitter.com/sosciudadanos/status/1062825828000632832","1062825828000632832")</f>
        <v>1062825828000632832</v>
      </c>
      <c r="F1403" s="11" t="s">
        <v>4557</v>
      </c>
      <c r="G1403" s="11" t="s">
        <v>4560</v>
      </c>
      <c r="H1403" s="12"/>
      <c r="I1403" s="13">
        <v>0</v>
      </c>
      <c r="J1403" s="13">
        <v>0</v>
      </c>
      <c r="K1403" s="14" t="str">
        <f>HYPERLINK("http://twitter.com/#!/download/ipad","Twitter for iPad")</f>
        <v>Twitter for iPad</v>
      </c>
      <c r="L1403" s="13">
        <v>246</v>
      </c>
      <c r="M1403" s="13">
        <v>239</v>
      </c>
      <c r="N1403" s="13">
        <v>0</v>
      </c>
      <c r="O1403" s="15"/>
      <c r="P1403" s="6">
        <v>40502.868402777778</v>
      </c>
      <c r="Q1403" s="12"/>
      <c r="R1403" s="17" t="s">
        <v>1775</v>
      </c>
      <c r="S1403" s="12"/>
      <c r="T1403" s="12"/>
      <c r="U1403" s="10" t="str">
        <f>HYPERLINK("https://pbs.twimg.com/profile_images/1365930752/Fotolia_21253940_S.jpg","View")</f>
        <v>View</v>
      </c>
    </row>
    <row r="1404" spans="1:21" ht="61.2">
      <c r="A1404" s="6">
        <v>43418.952233796299</v>
      </c>
      <c r="B1404" s="7" t="str">
        <f>HYPERLINK("https://twitter.com/Denna12_0","@Denna12_0")</f>
        <v>@Denna12_0</v>
      </c>
      <c r="C1404" s="8" t="s">
        <v>203</v>
      </c>
      <c r="D1404" s="9" t="s">
        <v>4567</v>
      </c>
      <c r="E1404" s="10" t="str">
        <f>HYPERLINK("https://twitter.com/Denna12_0/status/1062825302970249216","1062825302970249216")</f>
        <v>1062825302970249216</v>
      </c>
      <c r="F1404" s="11" t="s">
        <v>4568</v>
      </c>
      <c r="G1404" s="11" t="s">
        <v>4569</v>
      </c>
      <c r="H1404" s="12"/>
      <c r="I1404" s="13">
        <v>1</v>
      </c>
      <c r="J1404" s="13">
        <v>3</v>
      </c>
      <c r="K1404" s="14" t="str">
        <f>HYPERLINK("http://twitter.com/download/iphone","Twitter for iPhone")</f>
        <v>Twitter for iPhone</v>
      </c>
      <c r="L1404" s="13">
        <v>747</v>
      </c>
      <c r="M1404" s="13">
        <v>497</v>
      </c>
      <c r="N1404" s="13">
        <v>2</v>
      </c>
      <c r="O1404" s="15"/>
      <c r="P1404" s="6">
        <v>43099.739201388889</v>
      </c>
      <c r="Q1404" s="16" t="s">
        <v>207</v>
      </c>
      <c r="R1404" s="17" t="s">
        <v>208</v>
      </c>
      <c r="S1404" s="12"/>
      <c r="T1404" s="12"/>
      <c r="U1404" s="10" t="str">
        <f>HYPERLINK("https://pbs.twimg.com/profile_images/1064284473083289601/0C4W63pS.jpg","View")</f>
        <v>View</v>
      </c>
    </row>
    <row r="1405" spans="1:21" ht="71.400000000000006">
      <c r="A1405" s="6">
        <v>43418.951712962968</v>
      </c>
      <c r="B1405" s="7" t="str">
        <f>HYPERLINK("https://twitter.com/odin_freya","@odin_freya")</f>
        <v>@odin_freya</v>
      </c>
      <c r="C1405" s="8" t="s">
        <v>4570</v>
      </c>
      <c r="D1405" s="9" t="s">
        <v>4571</v>
      </c>
      <c r="E1405" s="10" t="str">
        <f>HYPERLINK("https://twitter.com/odin_freya/status/1062825117317767169","1062825117317767169")</f>
        <v>1062825117317767169</v>
      </c>
      <c r="F1405" s="16" t="s">
        <v>4572</v>
      </c>
      <c r="G1405" s="12"/>
      <c r="H1405" s="12"/>
      <c r="I1405" s="13">
        <v>0</v>
      </c>
      <c r="J1405" s="13">
        <v>0</v>
      </c>
      <c r="K1405" s="14" t="str">
        <f>HYPERLINK("http://twitter.com/download/android","Twitter for Android")</f>
        <v>Twitter for Android</v>
      </c>
      <c r="L1405" s="13">
        <v>469</v>
      </c>
      <c r="M1405" s="13">
        <v>652</v>
      </c>
      <c r="N1405" s="13">
        <v>32</v>
      </c>
      <c r="O1405" s="15"/>
      <c r="P1405" s="6">
        <v>42282.954583333332</v>
      </c>
      <c r="Q1405" s="12"/>
      <c r="R1405" s="21"/>
      <c r="S1405" s="12"/>
      <c r="T1405" s="12"/>
      <c r="U1405" s="10" t="str">
        <f>HYPERLINK("https://pbs.twimg.com/profile_images/732721062186737664/j8ea-EJv.jpg","View")</f>
        <v>View</v>
      </c>
    </row>
    <row r="1406" spans="1:21" ht="51">
      <c r="A1406" s="6">
        <v>43418.950578703705</v>
      </c>
      <c r="B1406" s="7" t="str">
        <f>HYPERLINK("https://twitter.com/CorreoDeMadrid","@CorreoDeMadrid")</f>
        <v>@CorreoDeMadrid</v>
      </c>
      <c r="C1406" s="8" t="s">
        <v>2158</v>
      </c>
      <c r="D1406" s="9" t="s">
        <v>4574</v>
      </c>
      <c r="E1406" s="10" t="str">
        <f>HYPERLINK("https://twitter.com/CorreoDeMadrid/status/1062824702899568642","1062824702899568642")</f>
        <v>1062824702899568642</v>
      </c>
      <c r="F1406" s="11" t="s">
        <v>4576</v>
      </c>
      <c r="G1406" s="12"/>
      <c r="H1406" s="12"/>
      <c r="I1406" s="13">
        <v>81</v>
      </c>
      <c r="J1406" s="13">
        <v>63</v>
      </c>
      <c r="K1406" s="14" t="str">
        <f>HYPERLINK("http://twitter.com/download/iphone","Twitter for iPhone")</f>
        <v>Twitter for iPhone</v>
      </c>
      <c r="L1406" s="13">
        <v>4179</v>
      </c>
      <c r="M1406" s="13">
        <v>831</v>
      </c>
      <c r="N1406" s="13">
        <v>108</v>
      </c>
      <c r="O1406" s="15"/>
      <c r="P1406" s="6">
        <v>41352.918842592597</v>
      </c>
      <c r="Q1406" s="16" t="s">
        <v>104</v>
      </c>
      <c r="R1406" s="17" t="s">
        <v>2161</v>
      </c>
      <c r="S1406" s="11" t="s">
        <v>549</v>
      </c>
      <c r="T1406" s="12"/>
      <c r="U1406" s="10" t="str">
        <f>HYPERLINK("https://pbs.twimg.com/profile_images/1001503392605274112/SreMCx1u.jpg","View")</f>
        <v>View</v>
      </c>
    </row>
    <row r="1407" spans="1:21" ht="91.8">
      <c r="A1407" s="6">
        <v>43418.950300925921</v>
      </c>
      <c r="B1407" s="7" t="str">
        <f>HYPERLINK("https://twitter.com/CastilianWoman","@CastilianWoman")</f>
        <v>@CastilianWoman</v>
      </c>
      <c r="C1407" s="8" t="s">
        <v>4577</v>
      </c>
      <c r="D1407" s="9" t="s">
        <v>4578</v>
      </c>
      <c r="E1407" s="10" t="str">
        <f>HYPERLINK("https://twitter.com/CastilianWoman/status/1062824604002066434","1062824604002066434")</f>
        <v>1062824604002066434</v>
      </c>
      <c r="F1407" s="11" t="s">
        <v>4418</v>
      </c>
      <c r="G1407" s="11" t="s">
        <v>4047</v>
      </c>
      <c r="H1407" s="12"/>
      <c r="I1407" s="13">
        <v>5</v>
      </c>
      <c r="J1407" s="13">
        <v>2</v>
      </c>
      <c r="K1407" s="14" t="str">
        <f>HYPERLINK("http://twitter.com/#!/download/ipad","Twitter for iPad")</f>
        <v>Twitter for iPad</v>
      </c>
      <c r="L1407" s="13">
        <v>2309</v>
      </c>
      <c r="M1407" s="13">
        <v>3902</v>
      </c>
      <c r="N1407" s="13">
        <v>23</v>
      </c>
      <c r="O1407" s="15"/>
      <c r="P1407" s="6">
        <v>42595.671261574069</v>
      </c>
      <c r="Q1407" s="16" t="s">
        <v>4579</v>
      </c>
      <c r="R1407" s="17" t="s">
        <v>4580</v>
      </c>
      <c r="S1407" s="12"/>
      <c r="T1407" s="12"/>
      <c r="U1407" s="10" t="str">
        <f>HYPERLINK("https://pbs.twimg.com/profile_images/927908445357002752/7Zlsd7X9.jpg","View")</f>
        <v>View</v>
      </c>
    </row>
    <row r="1408" spans="1:21" ht="61.2">
      <c r="A1408" s="6">
        <v>43418.949201388888</v>
      </c>
      <c r="B1408" s="7" t="str">
        <f>HYPERLINK("https://twitter.com/AlbiolsPons","@AlbiolsPons")</f>
        <v>@AlbiolsPons</v>
      </c>
      <c r="C1408" s="8" t="s">
        <v>2626</v>
      </c>
      <c r="D1408" s="9" t="s">
        <v>4581</v>
      </c>
      <c r="E1408" s="10" t="str">
        <f>HYPERLINK("https://twitter.com/AlbiolsPons/status/1062824203525783552","1062824203525783552")</f>
        <v>1062824203525783552</v>
      </c>
      <c r="F1408" s="11" t="s">
        <v>4491</v>
      </c>
      <c r="G1408" s="11" t="s">
        <v>4492</v>
      </c>
      <c r="H1408" s="12"/>
      <c r="I1408" s="13">
        <v>0</v>
      </c>
      <c r="J1408" s="13">
        <v>1</v>
      </c>
      <c r="K1408" s="14" t="str">
        <f>HYPERLINK("http://twitter.com","Twitter Web Client")</f>
        <v>Twitter Web Client</v>
      </c>
      <c r="L1408" s="13">
        <v>122</v>
      </c>
      <c r="M1408" s="13">
        <v>73</v>
      </c>
      <c r="N1408" s="13">
        <v>0</v>
      </c>
      <c r="O1408" s="15"/>
      <c r="P1408" s="6">
        <v>43388.818819444445</v>
      </c>
      <c r="Q1408" s="12"/>
      <c r="R1408" s="21"/>
      <c r="S1408" s="12"/>
      <c r="T1408" s="12"/>
      <c r="U1408" s="10" t="str">
        <f>HYPERLINK("https://pbs.twimg.com/profile_images/1051902910571929600/N85sYCId.jpg","View")</f>
        <v>View</v>
      </c>
    </row>
    <row r="1409" spans="1:21" ht="51">
      <c r="A1409" s="6">
        <v>43418.948703703703</v>
      </c>
      <c r="B1409" s="7" t="str">
        <f>HYPERLINK("https://twitter.com/Santi_ABASCAL","@Santi_ABASCAL")</f>
        <v>@Santi_ABASCAL</v>
      </c>
      <c r="C1409" s="8" t="s">
        <v>182</v>
      </c>
      <c r="D1409" s="9" t="s">
        <v>5391</v>
      </c>
      <c r="E1409" s="10" t="str">
        <f>HYPERLINK("https://twitter.com/Santi_ABASCAL/status/1062824026828087296","1062824026828087296")</f>
        <v>1062824026828087296</v>
      </c>
      <c r="F1409" s="11" t="s">
        <v>4250</v>
      </c>
      <c r="G1409" s="11" t="s">
        <v>4251</v>
      </c>
      <c r="H1409" s="12"/>
      <c r="I1409" s="13">
        <v>2294</v>
      </c>
      <c r="J1409" s="13">
        <v>3706</v>
      </c>
      <c r="K1409" s="14" t="str">
        <f>HYPERLINK("http://twitter.com/download/android","Twitter for Android")</f>
        <v>Twitter for Android</v>
      </c>
      <c r="L1409" s="13">
        <v>117602</v>
      </c>
      <c r="M1409" s="13">
        <v>3896</v>
      </c>
      <c r="N1409" s="13">
        <v>915</v>
      </c>
      <c r="O1409" s="23" t="s">
        <v>186</v>
      </c>
      <c r="P1409" s="6">
        <v>40606.716446759259</v>
      </c>
      <c r="Q1409" s="16" t="s">
        <v>188</v>
      </c>
      <c r="R1409" s="17" t="s">
        <v>189</v>
      </c>
      <c r="S1409" s="11" t="s">
        <v>190</v>
      </c>
      <c r="T1409" s="12"/>
      <c r="U1409" s="10" t="str">
        <f>HYPERLINK("https://pbs.twimg.com/profile_images/1010488787686879232/2CnqYKlD.jpg","View")</f>
        <v>View</v>
      </c>
    </row>
    <row r="1410" spans="1:21" ht="40.799999999999997">
      <c r="A1410" s="6">
        <v>43418.946597222224</v>
      </c>
      <c r="B1410" s="7" t="str">
        <f>HYPERLINK("https://twitter.com/vox_es","@vox_es")</f>
        <v>@vox_es</v>
      </c>
      <c r="C1410" s="8" t="s">
        <v>689</v>
      </c>
      <c r="D1410" s="9" t="s">
        <v>4582</v>
      </c>
      <c r="E1410" s="10" t="str">
        <f>HYPERLINK("https://twitter.com/vox_es/status/1062823263120879616","1062823263120879616")</f>
        <v>1062823263120879616</v>
      </c>
      <c r="F1410" s="12"/>
      <c r="G1410" s="11" t="s">
        <v>4439</v>
      </c>
      <c r="H1410" s="12"/>
      <c r="I1410" s="13">
        <v>1069</v>
      </c>
      <c r="J1410" s="13">
        <v>2127</v>
      </c>
      <c r="K1410" s="14" t="str">
        <f>HYPERLINK("http://twitter.com","Twitter Web Client")</f>
        <v>Twitter Web Client</v>
      </c>
      <c r="L1410" s="13">
        <v>122548</v>
      </c>
      <c r="M1410" s="13">
        <v>915</v>
      </c>
      <c r="N1410" s="13">
        <v>919</v>
      </c>
      <c r="O1410" s="23" t="s">
        <v>186</v>
      </c>
      <c r="P1410" s="6">
        <v>41596.746655092589</v>
      </c>
      <c r="Q1410" s="12"/>
      <c r="R1410" s="17" t="s">
        <v>694</v>
      </c>
      <c r="S1410" s="11" t="s">
        <v>187</v>
      </c>
      <c r="T1410" s="12"/>
      <c r="U1410" s="10" t="str">
        <f>HYPERLINK("https://pbs.twimg.com/profile_images/1016653788617363456/m3b3jqW5.jpg","View")</f>
        <v>View</v>
      </c>
    </row>
    <row r="1411" spans="1:21" ht="40.799999999999997">
      <c r="A1411" s="6">
        <v>43418.945636574077</v>
      </c>
      <c r="B1411" s="7" t="str">
        <f>HYPERLINK("https://twitter.com/YSiNoPodemos","@YSiNoPodemos")</f>
        <v>@YSiNoPodemos</v>
      </c>
      <c r="C1411" s="8" t="s">
        <v>4583</v>
      </c>
      <c r="D1411" s="9" t="s">
        <v>4585</v>
      </c>
      <c r="E1411" s="10" t="str">
        <f>HYPERLINK("https://twitter.com/YSiNoPodemos/status/1062822912992964608","1062822912992964608")</f>
        <v>1062822912992964608</v>
      </c>
      <c r="F1411" s="11" t="s">
        <v>4586</v>
      </c>
      <c r="G1411" s="11" t="s">
        <v>4587</v>
      </c>
      <c r="H1411" s="12"/>
      <c r="I1411" s="13">
        <v>10</v>
      </c>
      <c r="J1411" s="13">
        <v>9</v>
      </c>
      <c r="K1411" s="14" t="str">
        <f>HYPERLINK("http://twitter.com/download/android","Twitter for Android")</f>
        <v>Twitter for Android</v>
      </c>
      <c r="L1411" s="13">
        <v>95</v>
      </c>
      <c r="M1411" s="13">
        <v>103</v>
      </c>
      <c r="N1411" s="13">
        <v>0</v>
      </c>
      <c r="O1411" s="15"/>
      <c r="P1411" s="6">
        <v>42945.561192129629</v>
      </c>
      <c r="Q1411" s="16" t="s">
        <v>4591</v>
      </c>
      <c r="R1411" s="17" t="s">
        <v>4592</v>
      </c>
      <c r="S1411" s="12"/>
      <c r="T1411" s="12"/>
      <c r="U1411" s="10" t="str">
        <f>HYPERLINK("https://pbs.twimg.com/profile_images/1054439133706379265/BWDSh8xr.jpg","View")</f>
        <v>View</v>
      </c>
    </row>
    <row r="1412" spans="1:21" ht="40.799999999999997">
      <c r="A1412" s="6">
        <v>43418.943645833337</v>
      </c>
      <c r="B1412" s="7" t="str">
        <f>HYPERLINK("https://twitter.com/VOX_Valencia","@VOX_Valencia")</f>
        <v>@VOX_Valencia</v>
      </c>
      <c r="C1412" s="8" t="s">
        <v>4600</v>
      </c>
      <c r="D1412" s="9" t="s">
        <v>4601</v>
      </c>
      <c r="E1412" s="10" t="str">
        <f>HYPERLINK("https://twitter.com/VOX_Valencia/status/1062822191983661056","1062822191983661056")</f>
        <v>1062822191983661056</v>
      </c>
      <c r="F1412" s="12"/>
      <c r="G1412" s="11" t="s">
        <v>4126</v>
      </c>
      <c r="H1412" s="12"/>
      <c r="I1412" s="13">
        <v>176</v>
      </c>
      <c r="J1412" s="13">
        <v>343</v>
      </c>
      <c r="K1412" s="14" t="str">
        <f t="shared" ref="K1412:K1415" si="381">HYPERLINK("http://twitter.com/download/iphone","Twitter for iPhone")</f>
        <v>Twitter for iPhone</v>
      </c>
      <c r="L1412" s="13">
        <v>5586</v>
      </c>
      <c r="M1412" s="13">
        <v>1255</v>
      </c>
      <c r="N1412" s="13">
        <v>66</v>
      </c>
      <c r="O1412" s="15"/>
      <c r="P1412" s="6">
        <v>41663.93167824074</v>
      </c>
      <c r="Q1412" s="16" t="s">
        <v>4603</v>
      </c>
      <c r="R1412" s="17" t="s">
        <v>4604</v>
      </c>
      <c r="S1412" s="11" t="s">
        <v>4605</v>
      </c>
      <c r="T1412" s="12"/>
      <c r="U1412" s="10" t="str">
        <f>HYPERLINK("https://pbs.twimg.com/profile_images/1044123931513409536/MXDEsHPU.jpg","View")</f>
        <v>View</v>
      </c>
    </row>
    <row r="1413" spans="1:21" ht="51">
      <c r="A1413" s="6">
        <v>43418.940046296295</v>
      </c>
      <c r="B1413" s="7" t="str">
        <f>HYPERLINK("https://twitter.com/raymateos","@raymateos")</f>
        <v>@raymateos</v>
      </c>
      <c r="C1413" s="8" t="s">
        <v>4606</v>
      </c>
      <c r="D1413" s="9" t="s">
        <v>4607</v>
      </c>
      <c r="E1413" s="10" t="str">
        <f>HYPERLINK("https://twitter.com/raymateos/status/1062820889404809218","1062820889404809218")</f>
        <v>1062820889404809218</v>
      </c>
      <c r="F1413" s="12"/>
      <c r="G1413" s="12"/>
      <c r="H1413" s="12"/>
      <c r="I1413" s="13">
        <v>3</v>
      </c>
      <c r="J1413" s="13">
        <v>3</v>
      </c>
      <c r="K1413" s="14" t="str">
        <f t="shared" si="381"/>
        <v>Twitter for iPhone</v>
      </c>
      <c r="L1413" s="13">
        <v>201</v>
      </c>
      <c r="M1413" s="13">
        <v>176</v>
      </c>
      <c r="N1413" s="13">
        <v>8</v>
      </c>
      <c r="O1413" s="15"/>
      <c r="P1413" s="6">
        <v>39981.008043981477</v>
      </c>
      <c r="Q1413" s="12"/>
      <c r="R1413" s="17" t="s">
        <v>4608</v>
      </c>
      <c r="S1413" s="12"/>
      <c r="T1413" s="12"/>
      <c r="U1413" s="10" t="str">
        <f>HYPERLINK("https://pbs.twimg.com/profile_images/757896277355073536/WgtToMs9.jpg","View")</f>
        <v>View</v>
      </c>
    </row>
    <row r="1414" spans="1:21" ht="91.8">
      <c r="A1414" s="6">
        <v>43418.939016203702</v>
      </c>
      <c r="B1414" s="7" t="str">
        <f>HYPERLINK("https://twitter.com/Lucia90647951","@Lucia90647951")</f>
        <v>@Lucia90647951</v>
      </c>
      <c r="C1414" s="8" t="s">
        <v>4548</v>
      </c>
      <c r="D1414" s="9" t="s">
        <v>4610</v>
      </c>
      <c r="E1414" s="10" t="str">
        <f>HYPERLINK("https://twitter.com/Lucia90647951/status/1062820514614444032","1062820514614444032")</f>
        <v>1062820514614444032</v>
      </c>
      <c r="F1414" s="11" t="s">
        <v>4611</v>
      </c>
      <c r="G1414" s="11" t="s">
        <v>4612</v>
      </c>
      <c r="H1414" s="12"/>
      <c r="I1414" s="13">
        <v>0</v>
      </c>
      <c r="J1414" s="13">
        <v>1</v>
      </c>
      <c r="K1414" s="14" t="str">
        <f t="shared" si="381"/>
        <v>Twitter for iPhone</v>
      </c>
      <c r="L1414" s="13">
        <v>133</v>
      </c>
      <c r="M1414" s="13">
        <v>284</v>
      </c>
      <c r="N1414" s="13">
        <v>0</v>
      </c>
      <c r="O1414" s="15"/>
      <c r="P1414" s="6">
        <v>43384.95612268518</v>
      </c>
      <c r="Q1414" s="12"/>
      <c r="R1414" s="17" t="s">
        <v>4551</v>
      </c>
      <c r="S1414" s="12"/>
      <c r="T1414" s="12"/>
      <c r="U1414" s="10" t="str">
        <f>HYPERLINK("https://pbs.twimg.com/profile_images/1050493441669562368/LLmfSs9m.jpg","View")</f>
        <v>View</v>
      </c>
    </row>
    <row r="1415" spans="1:21" ht="40.799999999999997">
      <c r="A1415" s="6">
        <v>43418.937928240739</v>
      </c>
      <c r="B1415" s="7" t="str">
        <f>HYPERLINK("https://twitter.com/Kike_medinalao","@Kike_medinalao")</f>
        <v>@Kike_medinalao</v>
      </c>
      <c r="C1415" s="8" t="s">
        <v>3068</v>
      </c>
      <c r="D1415" s="9" t="s">
        <v>4613</v>
      </c>
      <c r="E1415" s="10" t="str">
        <f>HYPERLINK("https://twitter.com/Kike_medinalao/status/1062820119452282880","1062820119452282880")</f>
        <v>1062820119452282880</v>
      </c>
      <c r="F1415" s="12"/>
      <c r="G1415" s="12"/>
      <c r="H1415" s="12"/>
      <c r="I1415" s="13">
        <v>0</v>
      </c>
      <c r="J1415" s="13">
        <v>2</v>
      </c>
      <c r="K1415" s="14" t="str">
        <f t="shared" si="381"/>
        <v>Twitter for iPhone</v>
      </c>
      <c r="L1415" s="13">
        <v>125</v>
      </c>
      <c r="M1415" s="13">
        <v>238</v>
      </c>
      <c r="N1415" s="13">
        <v>1</v>
      </c>
      <c r="O1415" s="15"/>
      <c r="P1415" s="6">
        <v>42187.926759259259</v>
      </c>
      <c r="Q1415" s="12"/>
      <c r="R1415" s="17" t="s">
        <v>3071</v>
      </c>
      <c r="S1415" s="11" t="s">
        <v>3072</v>
      </c>
      <c r="T1415" s="12"/>
      <c r="U1415" s="10" t="str">
        <f>HYPERLINK("https://pbs.twimg.com/profile_images/623582938366636032/v89UuAN2.jpg","View")</f>
        <v>View</v>
      </c>
    </row>
    <row r="1416" spans="1:21" ht="30.6">
      <c r="A1416" s="6">
        <v>43418.937916666662</v>
      </c>
      <c r="B1416" s="7" t="str">
        <f>HYPERLINK("https://twitter.com/elhuron2","@elhuron2")</f>
        <v>@elhuron2</v>
      </c>
      <c r="C1416" s="8" t="s">
        <v>246</v>
      </c>
      <c r="D1416" s="9" t="s">
        <v>5415</v>
      </c>
      <c r="E1416" s="10" t="str">
        <f>HYPERLINK("https://twitter.com/elhuron2/status/1062820115161395200","1062820115161395200")</f>
        <v>1062820115161395200</v>
      </c>
      <c r="F1416" s="11" t="s">
        <v>5417</v>
      </c>
      <c r="G1416" s="12"/>
      <c r="H1416" s="12"/>
      <c r="I1416" s="13">
        <v>1</v>
      </c>
      <c r="J1416" s="13">
        <v>1</v>
      </c>
      <c r="K1416" s="14" t="str">
        <f>HYPERLINK("https://www.google.com/","Google")</f>
        <v>Google</v>
      </c>
      <c r="L1416" s="13">
        <v>408</v>
      </c>
      <c r="M1416" s="13">
        <v>496</v>
      </c>
      <c r="N1416" s="13">
        <v>6</v>
      </c>
      <c r="O1416" s="15"/>
      <c r="P1416" s="6">
        <v>41869.952997685185</v>
      </c>
      <c r="Q1416" s="16" t="s">
        <v>249</v>
      </c>
      <c r="R1416" s="17" t="s">
        <v>250</v>
      </c>
      <c r="S1416" s="11" t="s">
        <v>251</v>
      </c>
      <c r="T1416" s="12"/>
      <c r="U1416" s="10" t="str">
        <f>HYPERLINK("https://pbs.twimg.com/profile_images/803176150629515264/heYiZScX.jpg","View")</f>
        <v>View</v>
      </c>
    </row>
    <row r="1417" spans="1:21" ht="102">
      <c r="A1417" s="6">
        <v>43418.936087962968</v>
      </c>
      <c r="B1417" s="7" t="str">
        <f>HYPERLINK("https://twitter.com/Santi_ABASCAL","@Santi_ABASCAL")</f>
        <v>@Santi_ABASCAL</v>
      </c>
      <c r="C1417" s="8" t="s">
        <v>182</v>
      </c>
      <c r="D1417" s="9" t="s">
        <v>5419</v>
      </c>
      <c r="E1417" s="10" t="str">
        <f>HYPERLINK("https://twitter.com/Santi_ABASCAL/status/1062819452734111746","1062819452734111746")</f>
        <v>1062819452734111746</v>
      </c>
      <c r="F1417" s="16" t="s">
        <v>5422</v>
      </c>
      <c r="G1417" s="12"/>
      <c r="H1417" s="12"/>
      <c r="I1417" s="13">
        <v>1986</v>
      </c>
      <c r="J1417" s="13">
        <v>2712</v>
      </c>
      <c r="K1417" s="14" t="str">
        <f>HYPERLINK("http://twitter.com/download/android","Twitter for Android")</f>
        <v>Twitter for Android</v>
      </c>
      <c r="L1417" s="13">
        <v>117602</v>
      </c>
      <c r="M1417" s="13">
        <v>3896</v>
      </c>
      <c r="N1417" s="13">
        <v>915</v>
      </c>
      <c r="O1417" s="23" t="s">
        <v>186</v>
      </c>
      <c r="P1417" s="6">
        <v>40606.716446759259</v>
      </c>
      <c r="Q1417" s="16" t="s">
        <v>188</v>
      </c>
      <c r="R1417" s="17" t="s">
        <v>189</v>
      </c>
      <c r="S1417" s="11" t="s">
        <v>190</v>
      </c>
      <c r="T1417" s="12"/>
      <c r="U1417" s="10" t="str">
        <f>HYPERLINK("https://pbs.twimg.com/profile_images/1010488787686879232/2CnqYKlD.jpg","View")</f>
        <v>View</v>
      </c>
    </row>
    <row r="1418" spans="1:21" ht="30.6">
      <c r="A1418" s="6">
        <v>43418.93268518518</v>
      </c>
      <c r="B1418" s="7" t="str">
        <f>HYPERLINK("https://twitter.com/elhuron2","@elhuron2")</f>
        <v>@elhuron2</v>
      </c>
      <c r="C1418" s="8" t="s">
        <v>246</v>
      </c>
      <c r="D1418" s="9" t="s">
        <v>5426</v>
      </c>
      <c r="E1418" s="10" t="str">
        <f>HYPERLINK("https://twitter.com/elhuron2/status/1062818219218464768","1062818219218464768")</f>
        <v>1062818219218464768</v>
      </c>
      <c r="F1418" s="11" t="s">
        <v>5417</v>
      </c>
      <c r="G1418" s="12"/>
      <c r="H1418" s="12"/>
      <c r="I1418" s="13">
        <v>0</v>
      </c>
      <c r="J1418" s="13">
        <v>0</v>
      </c>
      <c r="K1418" s="14" t="str">
        <f>HYPERLINK("https://www.google.com/","Google")</f>
        <v>Google</v>
      </c>
      <c r="L1418" s="13">
        <v>408</v>
      </c>
      <c r="M1418" s="13">
        <v>496</v>
      </c>
      <c r="N1418" s="13">
        <v>6</v>
      </c>
      <c r="O1418" s="15"/>
      <c r="P1418" s="6">
        <v>41869.952997685185</v>
      </c>
      <c r="Q1418" s="16" t="s">
        <v>249</v>
      </c>
      <c r="R1418" s="17" t="s">
        <v>250</v>
      </c>
      <c r="S1418" s="11" t="s">
        <v>251</v>
      </c>
      <c r="T1418" s="12"/>
      <c r="U1418" s="10" t="str">
        <f>HYPERLINK("https://pbs.twimg.com/profile_images/803176150629515264/heYiZScX.jpg","View")</f>
        <v>View</v>
      </c>
    </row>
    <row r="1419" spans="1:21" ht="51">
      <c r="A1419" s="6">
        <v>43418.932013888887</v>
      </c>
      <c r="B1419" s="7" t="str">
        <f>HYPERLINK("https://twitter.com/JuanDHaro","@JuanDHaro")</f>
        <v>@JuanDHaro</v>
      </c>
      <c r="C1419" s="8" t="s">
        <v>4614</v>
      </c>
      <c r="D1419" s="9" t="s">
        <v>4615</v>
      </c>
      <c r="E1419" s="10" t="str">
        <f>HYPERLINK("https://twitter.com/JuanDHaro/status/1062817976360058880","1062817976360058880")</f>
        <v>1062817976360058880</v>
      </c>
      <c r="F1419" s="12"/>
      <c r="G1419" s="11" t="s">
        <v>4616</v>
      </c>
      <c r="H1419" s="12"/>
      <c r="I1419" s="13">
        <v>5</v>
      </c>
      <c r="J1419" s="13">
        <v>8</v>
      </c>
      <c r="K1419" s="14" t="str">
        <f>HYPERLINK("http://twitter.com/download/android","Twitter for Android")</f>
        <v>Twitter for Android</v>
      </c>
      <c r="L1419" s="13">
        <v>1723</v>
      </c>
      <c r="M1419" s="13">
        <v>45</v>
      </c>
      <c r="N1419" s="13">
        <v>34</v>
      </c>
      <c r="O1419" s="15"/>
      <c r="P1419" s="6">
        <v>42018.998888888891</v>
      </c>
      <c r="Q1419" s="16" t="s">
        <v>4617</v>
      </c>
      <c r="R1419" s="17" t="s">
        <v>4618</v>
      </c>
      <c r="S1419" s="11" t="s">
        <v>4619</v>
      </c>
      <c r="T1419" s="12"/>
      <c r="U1419" s="10" t="str">
        <f>HYPERLINK("https://pbs.twimg.com/profile_images/1056028834154332160/0yt7_yr0.jpg","View")</f>
        <v>View</v>
      </c>
    </row>
    <row r="1420" spans="1:21" ht="51">
      <c r="A1420" s="6">
        <v>43418.931643518517</v>
      </c>
      <c r="B1420" s="7" t="str">
        <f>HYPERLINK("https://twitter.com/AntidotoAlCaos","@AntidotoAlCaos")</f>
        <v>@AntidotoAlCaos</v>
      </c>
      <c r="C1420" s="8" t="s">
        <v>3719</v>
      </c>
      <c r="D1420" s="9" t="s">
        <v>4622</v>
      </c>
      <c r="E1420" s="10" t="str">
        <f>HYPERLINK("https://twitter.com/AntidotoAlCaos/status/1062817843216031767","1062817843216031767")</f>
        <v>1062817843216031767</v>
      </c>
      <c r="F1420" s="11" t="s">
        <v>4235</v>
      </c>
      <c r="G1420" s="12"/>
      <c r="H1420" s="12"/>
      <c r="I1420" s="13">
        <v>1</v>
      </c>
      <c r="J1420" s="13">
        <v>2</v>
      </c>
      <c r="K1420" s="14" t="str">
        <f>HYPERLINK("http://twitter.com/download/iphone","Twitter for iPhone")</f>
        <v>Twitter for iPhone</v>
      </c>
      <c r="L1420" s="13">
        <v>16</v>
      </c>
      <c r="M1420" s="13">
        <v>77</v>
      </c>
      <c r="N1420" s="13">
        <v>0</v>
      </c>
      <c r="O1420" s="15"/>
      <c r="P1420" s="6">
        <v>43417.947893518518</v>
      </c>
      <c r="Q1420" s="12"/>
      <c r="R1420" s="17" t="s">
        <v>3722</v>
      </c>
      <c r="S1420" s="12"/>
      <c r="T1420" s="12"/>
      <c r="U1420" s="10" t="str">
        <f>HYPERLINK("https://pbs.twimg.com/profile_images/1062464543559954432/wkEH44Jy.jpg","View")</f>
        <v>View</v>
      </c>
    </row>
    <row r="1421" spans="1:21" ht="51">
      <c r="A1421" s="6">
        <v>43418.928703703699</v>
      </c>
      <c r="B1421" s="7" t="str">
        <f>HYPERLINK("https://twitter.com/bitMomentum","@bitMomentum")</f>
        <v>@bitMomentum</v>
      </c>
      <c r="C1421" s="8" t="s">
        <v>368</v>
      </c>
      <c r="D1421" s="9" t="s">
        <v>4624</v>
      </c>
      <c r="E1421" s="10" t="str">
        <f>HYPERLINK("https://twitter.com/bitMomentum/status/1062816778689093637","1062816778689093637")</f>
        <v>1062816778689093637</v>
      </c>
      <c r="F1421" s="12"/>
      <c r="G1421" s="11" t="s">
        <v>4626</v>
      </c>
      <c r="H1421" s="12"/>
      <c r="I1421" s="13">
        <v>0</v>
      </c>
      <c r="J1421" s="13">
        <v>0</v>
      </c>
      <c r="K1421" s="14" t="str">
        <f>HYPERLINK("http://www.bitmomentum.com","bitMomentum Bot")</f>
        <v>bitMomentum Bot</v>
      </c>
      <c r="L1421" s="13">
        <v>10132</v>
      </c>
      <c r="M1421" s="13">
        <v>1060</v>
      </c>
      <c r="N1421" s="13">
        <v>267</v>
      </c>
      <c r="O1421" s="15"/>
      <c r="P1421" s="6">
        <v>41608.667511574073</v>
      </c>
      <c r="Q1421" s="12"/>
      <c r="R1421" s="17" t="s">
        <v>371</v>
      </c>
      <c r="S1421" s="11" t="s">
        <v>372</v>
      </c>
      <c r="T1421" s="12"/>
      <c r="U1421" s="10" t="str">
        <f>HYPERLINK("https://pbs.twimg.com/profile_images/378800000862185241/20ij2H3u.png","View")</f>
        <v>View</v>
      </c>
    </row>
    <row r="1422" spans="1:21" ht="40.799999999999997">
      <c r="A1422" s="6">
        <v>43418.928182870368</v>
      </c>
      <c r="B1422" s="7" t="str">
        <f>HYPERLINK("https://twitter.com/ealdrith77","@ealdrith77")</f>
        <v>@ealdrith77</v>
      </c>
      <c r="C1422" s="8" t="s">
        <v>4627</v>
      </c>
      <c r="D1422" s="9" t="s">
        <v>4628</v>
      </c>
      <c r="E1422" s="10" t="str">
        <f>HYPERLINK("https://twitter.com/ealdrith77/status/1062816588452319232","1062816588452319232")</f>
        <v>1062816588452319232</v>
      </c>
      <c r="F1422" s="12"/>
      <c r="G1422" s="11" t="s">
        <v>4629</v>
      </c>
      <c r="H1422" s="12"/>
      <c r="I1422" s="13">
        <v>3</v>
      </c>
      <c r="J1422" s="13">
        <v>1</v>
      </c>
      <c r="K1422" s="14" t="str">
        <f>HYPERLINK("http://twitter.com/download/android","Twitter for Android")</f>
        <v>Twitter for Android</v>
      </c>
      <c r="L1422" s="13">
        <v>2126</v>
      </c>
      <c r="M1422" s="13">
        <v>3468</v>
      </c>
      <c r="N1422" s="13">
        <v>28</v>
      </c>
      <c r="O1422" s="15"/>
      <c r="P1422" s="6">
        <v>40724.583356481482</v>
      </c>
      <c r="Q1422" s="16" t="s">
        <v>4630</v>
      </c>
      <c r="R1422" s="17" t="s">
        <v>4631</v>
      </c>
      <c r="S1422" s="12"/>
      <c r="T1422" s="12"/>
      <c r="U1422" s="10" t="str">
        <f>HYPERLINK("https://pbs.twimg.com/profile_images/718102799347814405/geF28COL.jpg","View")</f>
        <v>View</v>
      </c>
    </row>
    <row r="1423" spans="1:21" ht="51">
      <c r="A1423" s="6">
        <v>43418.927986111114</v>
      </c>
      <c r="B1423" s="7" t="str">
        <f>HYPERLINK("https://twitter.com/bitMomentum","@bitMomentum")</f>
        <v>@bitMomentum</v>
      </c>
      <c r="C1423" s="8" t="s">
        <v>368</v>
      </c>
      <c r="D1423" s="9" t="s">
        <v>4632</v>
      </c>
      <c r="E1423" s="10" t="str">
        <f>HYPERLINK("https://twitter.com/bitMomentum/status/1062816517992128512","1062816517992128512")</f>
        <v>1062816517992128512</v>
      </c>
      <c r="F1423" s="12"/>
      <c r="G1423" s="11" t="s">
        <v>4633</v>
      </c>
      <c r="H1423" s="12"/>
      <c r="I1423" s="13">
        <v>1</v>
      </c>
      <c r="J1423" s="13">
        <v>2</v>
      </c>
      <c r="K1423" s="14" t="str">
        <f>HYPERLINK("http://www.bitmomentum.com","bitMomentum Bot")</f>
        <v>bitMomentum Bot</v>
      </c>
      <c r="L1423" s="13">
        <v>10132</v>
      </c>
      <c r="M1423" s="13">
        <v>1060</v>
      </c>
      <c r="N1423" s="13">
        <v>267</v>
      </c>
      <c r="O1423" s="15"/>
      <c r="P1423" s="6">
        <v>41608.667511574073</v>
      </c>
      <c r="Q1423" s="12"/>
      <c r="R1423" s="17" t="s">
        <v>371</v>
      </c>
      <c r="S1423" s="11" t="s">
        <v>372</v>
      </c>
      <c r="T1423" s="12"/>
      <c r="U1423" s="10" t="str">
        <f>HYPERLINK("https://pbs.twimg.com/profile_images/378800000862185241/20ij2H3u.png","View")</f>
        <v>View</v>
      </c>
    </row>
    <row r="1424" spans="1:21" ht="51">
      <c r="A1424" s="6">
        <v>43418.924467592587</v>
      </c>
      <c r="B1424" s="7" t="str">
        <f>HYPERLINK("https://twitter.com/jmsalvade","@jmsalvade")</f>
        <v>@jmsalvade</v>
      </c>
      <c r="C1424" s="8" t="s">
        <v>611</v>
      </c>
      <c r="D1424" s="9" t="s">
        <v>4635</v>
      </c>
      <c r="E1424" s="10" t="str">
        <f>HYPERLINK("https://twitter.com/jmsalvade/status/1062815240906252294","1062815240906252294")</f>
        <v>1062815240906252294</v>
      </c>
      <c r="F1424" s="11" t="s">
        <v>4636</v>
      </c>
      <c r="G1424" s="12"/>
      <c r="H1424" s="12"/>
      <c r="I1424" s="13">
        <v>0</v>
      </c>
      <c r="J1424" s="13">
        <v>0</v>
      </c>
      <c r="K1424" s="14" t="str">
        <f>HYPERLINK("http://twitter.com/download/iphone","Twitter for iPhone")</f>
        <v>Twitter for iPhone</v>
      </c>
      <c r="L1424" s="13">
        <v>361</v>
      </c>
      <c r="M1424" s="13">
        <v>693</v>
      </c>
      <c r="N1424" s="13">
        <v>15</v>
      </c>
      <c r="O1424" s="15"/>
      <c r="P1424" s="6">
        <v>41260.869745370372</v>
      </c>
      <c r="Q1424" s="12"/>
      <c r="R1424" s="17" t="s">
        <v>615</v>
      </c>
      <c r="S1424" s="11" t="s">
        <v>616</v>
      </c>
      <c r="T1424" s="12"/>
      <c r="U1424" s="10" t="str">
        <f>HYPERLINK("https://pbs.twimg.com/profile_images/455739214663917568/tdXuqCOx.jpeg","View")</f>
        <v>View</v>
      </c>
    </row>
    <row r="1425" spans="1:21" ht="20.399999999999999">
      <c r="A1425" s="6">
        <v>43418.923784722225</v>
      </c>
      <c r="B1425" s="7" t="str">
        <f>HYPERLINK("https://twitter.com/Mightydani","@Mightydani")</f>
        <v>@Mightydani</v>
      </c>
      <c r="C1425" s="8" t="s">
        <v>5427</v>
      </c>
      <c r="D1425" s="9" t="s">
        <v>5428</v>
      </c>
      <c r="E1425" s="10" t="str">
        <f>HYPERLINK("https://twitter.com/Mightydani/status/1062814994016935938","1062814994016935938")</f>
        <v>1062814994016935938</v>
      </c>
      <c r="F1425" s="12"/>
      <c r="G1425" s="11" t="s">
        <v>5429</v>
      </c>
      <c r="H1425" s="12"/>
      <c r="I1425" s="13">
        <v>0</v>
      </c>
      <c r="J1425" s="13">
        <v>1</v>
      </c>
      <c r="K1425" s="14" t="str">
        <f>HYPERLINK("http://twitter.com/download/android","Twitter for Android")</f>
        <v>Twitter for Android</v>
      </c>
      <c r="L1425" s="13">
        <v>448</v>
      </c>
      <c r="M1425" s="13">
        <v>413</v>
      </c>
      <c r="N1425" s="13">
        <v>15</v>
      </c>
      <c r="O1425" s="15"/>
      <c r="P1425" s="6">
        <v>40315.090960648144</v>
      </c>
      <c r="Q1425" s="16" t="s">
        <v>104</v>
      </c>
      <c r="R1425" s="17" t="s">
        <v>5430</v>
      </c>
      <c r="S1425" s="12"/>
      <c r="T1425" s="12"/>
      <c r="U1425" s="10" t="str">
        <f>HYPERLINK("https://pbs.twimg.com/profile_images/888163522768756737/ahi5qWA7.jpg","View")</f>
        <v>View</v>
      </c>
    </row>
    <row r="1426" spans="1:21" ht="51">
      <c r="A1426" s="6">
        <v>43418.917361111111</v>
      </c>
      <c r="B1426" s="7" t="str">
        <f>HYPERLINK("https://twitter.com/bitMomentum","@bitMomentum")</f>
        <v>@bitMomentum</v>
      </c>
      <c r="C1426" s="8" t="s">
        <v>368</v>
      </c>
      <c r="D1426" s="9" t="s">
        <v>4637</v>
      </c>
      <c r="E1426" s="10" t="str">
        <f>HYPERLINK("https://twitter.com/bitMomentum/status/1062812665309995026","1062812665309995026")</f>
        <v>1062812665309995026</v>
      </c>
      <c r="F1426" s="12"/>
      <c r="G1426" s="12"/>
      <c r="H1426" s="12"/>
      <c r="I1426" s="13">
        <v>2</v>
      </c>
      <c r="J1426" s="13">
        <v>1</v>
      </c>
      <c r="K1426" s="14" t="str">
        <f>HYPERLINK("http://www.bitmomentum.com","bitMomentum Bot")</f>
        <v>bitMomentum Bot</v>
      </c>
      <c r="L1426" s="13">
        <v>10132</v>
      </c>
      <c r="M1426" s="13">
        <v>1060</v>
      </c>
      <c r="N1426" s="13">
        <v>267</v>
      </c>
      <c r="O1426" s="15"/>
      <c r="P1426" s="6">
        <v>41608.667511574073</v>
      </c>
      <c r="Q1426" s="12"/>
      <c r="R1426" s="17" t="s">
        <v>371</v>
      </c>
      <c r="S1426" s="11" t="s">
        <v>372</v>
      </c>
      <c r="T1426" s="12"/>
      <c r="U1426" s="10" t="str">
        <f>HYPERLINK("https://pbs.twimg.com/profile_images/378800000862185241/20ij2H3u.png","View")</f>
        <v>View</v>
      </c>
    </row>
    <row r="1427" spans="1:21" ht="40.799999999999997">
      <c r="A1427" s="6">
        <v>43418.914664351847</v>
      </c>
      <c r="B1427" s="7" t="str">
        <f>HYPERLINK("https://twitter.com/ElenaLoryllan","@ElenaLoryllan")</f>
        <v>@ElenaLoryllan</v>
      </c>
      <c r="C1427" s="8" t="s">
        <v>4640</v>
      </c>
      <c r="D1427" s="9" t="s">
        <v>4641</v>
      </c>
      <c r="E1427" s="10" t="str">
        <f>HYPERLINK("https://twitter.com/ElenaLoryllan/status/1062811687621926915","1062811687621926915")</f>
        <v>1062811687621926915</v>
      </c>
      <c r="F1427" s="12"/>
      <c r="G1427" s="12"/>
      <c r="H1427" s="12"/>
      <c r="I1427" s="13">
        <v>0</v>
      </c>
      <c r="J1427" s="13">
        <v>2</v>
      </c>
      <c r="K1427" s="14" t="str">
        <f>HYPERLINK("http://twitter.com/download/iphone","Twitter for iPhone")</f>
        <v>Twitter for iPhone</v>
      </c>
      <c r="L1427" s="13">
        <v>2294</v>
      </c>
      <c r="M1427" s="13">
        <v>1405</v>
      </c>
      <c r="N1427" s="13">
        <v>12</v>
      </c>
      <c r="O1427" s="15"/>
      <c r="P1427" s="6">
        <v>41637.602650462963</v>
      </c>
      <c r="Q1427" s="16" t="s">
        <v>4642</v>
      </c>
      <c r="R1427" s="17" t="s">
        <v>4643</v>
      </c>
      <c r="S1427" s="12"/>
      <c r="T1427" s="12"/>
      <c r="U1427" s="10" t="str">
        <f>HYPERLINK("https://pbs.twimg.com/profile_images/916767086575316998/u-J4kdGB.jpg","View")</f>
        <v>View</v>
      </c>
    </row>
    <row r="1428" spans="1:21" ht="91.8">
      <c r="A1428" s="6">
        <v>43418.911851851852</v>
      </c>
      <c r="B1428" s="7" t="str">
        <f>HYPERLINK("https://twitter.com/robersanchez98","@robersanchez98")</f>
        <v>@robersanchez98</v>
      </c>
      <c r="C1428" s="8" t="s">
        <v>2037</v>
      </c>
      <c r="D1428" s="9" t="s">
        <v>4644</v>
      </c>
      <c r="E1428" s="10" t="str">
        <f>HYPERLINK("https://twitter.com/robersanchez98/status/1062810669492383749","1062810669492383749")</f>
        <v>1062810669492383749</v>
      </c>
      <c r="F1428" s="11" t="s">
        <v>4645</v>
      </c>
      <c r="G1428" s="11" t="s">
        <v>4646</v>
      </c>
      <c r="H1428" s="12"/>
      <c r="I1428" s="13">
        <v>0</v>
      </c>
      <c r="J1428" s="13">
        <v>0</v>
      </c>
      <c r="K1428" s="14" t="str">
        <f>HYPERLINK("http://twitter.com","Twitter Web Client")</f>
        <v>Twitter Web Client</v>
      </c>
      <c r="L1428" s="13">
        <v>239</v>
      </c>
      <c r="M1428" s="13">
        <v>446</v>
      </c>
      <c r="N1428" s="13">
        <v>9</v>
      </c>
      <c r="O1428" s="15"/>
      <c r="P1428" s="6">
        <v>41909.51258101852</v>
      </c>
      <c r="Q1428" s="16" t="s">
        <v>1875</v>
      </c>
      <c r="R1428" s="17" t="s">
        <v>2039</v>
      </c>
      <c r="S1428" s="12"/>
      <c r="T1428" s="12"/>
      <c r="U1428" s="10" t="str">
        <f>HYPERLINK("https://pbs.twimg.com/profile_images/1031962076003147776/JvDVrA12.jpg","View")</f>
        <v>View</v>
      </c>
    </row>
    <row r="1429" spans="1:21" ht="102">
      <c r="A1429" s="6">
        <v>43418.911747685182</v>
      </c>
      <c r="B1429" s="7" t="str">
        <f>HYPERLINK("https://twitter.com/memeses2","@memeses2")</f>
        <v>@memeses2</v>
      </c>
      <c r="C1429" s="8" t="s">
        <v>1091</v>
      </c>
      <c r="D1429" s="9" t="s">
        <v>4647</v>
      </c>
      <c r="E1429" s="10" t="str">
        <f>HYPERLINK("https://twitter.com/memeses2/status/1062810632624447490","1062810632624447490")</f>
        <v>1062810632624447490</v>
      </c>
      <c r="F1429" s="11" t="s">
        <v>4296</v>
      </c>
      <c r="G1429" s="11" t="s">
        <v>4297</v>
      </c>
      <c r="H1429" s="12"/>
      <c r="I1429" s="13">
        <v>0</v>
      </c>
      <c r="J1429" s="13">
        <v>1</v>
      </c>
      <c r="K1429" s="14" t="str">
        <f>HYPERLINK("http://twitter.com/download/android","Twitter for Android")</f>
        <v>Twitter for Android</v>
      </c>
      <c r="L1429" s="13">
        <v>682</v>
      </c>
      <c r="M1429" s="13">
        <v>515</v>
      </c>
      <c r="N1429" s="13">
        <v>1</v>
      </c>
      <c r="O1429" s="15"/>
      <c r="P1429" s="6">
        <v>43413.516655092593</v>
      </c>
      <c r="Q1429" s="16" t="s">
        <v>66</v>
      </c>
      <c r="R1429" s="17" t="s">
        <v>1094</v>
      </c>
      <c r="S1429" s="12"/>
      <c r="T1429" s="12"/>
      <c r="U1429" s="10" t="str">
        <f>HYPERLINK("https://pbs.twimg.com/profile_images/1060857415640539136/cZbEgTAv.jpg","View")</f>
        <v>View</v>
      </c>
    </row>
    <row r="1430" spans="1:21" ht="112.2">
      <c r="A1430" s="6">
        <v>43418.911412037036</v>
      </c>
      <c r="B1430" s="7" t="str">
        <f>HYPERLINK("https://twitter.com/DavidLopezGnzlz","@DavidLopezGnzlz")</f>
        <v>@DavidLopezGnzlz</v>
      </c>
      <c r="C1430" s="8" t="s">
        <v>3247</v>
      </c>
      <c r="D1430" s="9" t="s">
        <v>4651</v>
      </c>
      <c r="E1430" s="10" t="str">
        <f>HYPERLINK("https://twitter.com/DavidLopezGnzlz/status/1062810510905761792","1062810510905761792")</f>
        <v>1062810510905761792</v>
      </c>
      <c r="F1430" s="11" t="s">
        <v>4046</v>
      </c>
      <c r="G1430" s="11" t="s">
        <v>4047</v>
      </c>
      <c r="H1430" s="12"/>
      <c r="I1430" s="13">
        <v>4</v>
      </c>
      <c r="J1430" s="13">
        <v>3</v>
      </c>
      <c r="K1430" s="14" t="str">
        <f>HYPERLINK("http://twitter.com/download/iphone","Twitter for iPhone")</f>
        <v>Twitter for iPhone</v>
      </c>
      <c r="L1430" s="13">
        <v>518</v>
      </c>
      <c r="M1430" s="13">
        <v>886</v>
      </c>
      <c r="N1430" s="13">
        <v>26</v>
      </c>
      <c r="O1430" s="15"/>
      <c r="P1430" s="6">
        <v>42167.669444444444</v>
      </c>
      <c r="Q1430" s="16" t="s">
        <v>3251</v>
      </c>
      <c r="R1430" s="17" t="s">
        <v>3252</v>
      </c>
      <c r="S1430" s="12"/>
      <c r="T1430" s="12"/>
      <c r="U1430" s="10" t="str">
        <f>HYPERLINK("https://pbs.twimg.com/profile_images/1035325926459027456/FkJqo_SK.jpg","View")</f>
        <v>View</v>
      </c>
    </row>
    <row r="1431" spans="1:21" ht="61.2">
      <c r="A1431" s="6">
        <v>43418.911006944443</v>
      </c>
      <c r="B1431" s="7" t="str">
        <f>HYPERLINK("https://twitter.com/Pozo_1969","@Pozo_1969")</f>
        <v>@Pozo_1969</v>
      </c>
      <c r="C1431" s="8" t="s">
        <v>556</v>
      </c>
      <c r="D1431" s="9" t="s">
        <v>4653</v>
      </c>
      <c r="E1431" s="10" t="str">
        <f>HYPERLINK("https://twitter.com/Pozo_1969/status/1062810365908656129","1062810365908656129")</f>
        <v>1062810365908656129</v>
      </c>
      <c r="F1431" s="12"/>
      <c r="G1431" s="11" t="s">
        <v>4654</v>
      </c>
      <c r="H1431" s="12"/>
      <c r="I1431" s="13">
        <v>5</v>
      </c>
      <c r="J1431" s="13">
        <v>11</v>
      </c>
      <c r="K1431" s="14" t="str">
        <f t="shared" ref="K1431:K1434" si="382">HYPERLINK("http://twitter.com/download/android","Twitter for Android")</f>
        <v>Twitter for Android</v>
      </c>
      <c r="L1431" s="13">
        <v>2102</v>
      </c>
      <c r="M1431" s="13">
        <v>2137</v>
      </c>
      <c r="N1431" s="13">
        <v>40</v>
      </c>
      <c r="O1431" s="15"/>
      <c r="P1431" s="6">
        <v>40815.401643518519</v>
      </c>
      <c r="Q1431" s="12"/>
      <c r="R1431" s="17" t="s">
        <v>558</v>
      </c>
      <c r="S1431" s="12"/>
      <c r="T1431" s="12"/>
      <c r="U1431" s="10" t="str">
        <f>HYPERLINK("https://pbs.twimg.com/profile_images/844561592603824128/WgXnX2H3.jpg","View")</f>
        <v>View</v>
      </c>
    </row>
    <row r="1432" spans="1:21" ht="40.799999999999997">
      <c r="A1432" s="6">
        <v>43418.908773148149</v>
      </c>
      <c r="B1432" s="7" t="str">
        <f>HYPERLINK("https://twitter.com/temple_hispania","@temple_hispania")</f>
        <v>@temple_hispania</v>
      </c>
      <c r="C1432" s="8" t="s">
        <v>5431</v>
      </c>
      <c r="D1432" s="9" t="s">
        <v>5432</v>
      </c>
      <c r="E1432" s="10" t="str">
        <f>HYPERLINK("https://twitter.com/temple_hispania/status/1062809556252794895","1062809556252794895")</f>
        <v>1062809556252794895</v>
      </c>
      <c r="F1432" s="11" t="s">
        <v>5433</v>
      </c>
      <c r="G1432" s="12"/>
      <c r="H1432" s="12"/>
      <c r="I1432" s="13">
        <v>1</v>
      </c>
      <c r="J1432" s="13">
        <v>1</v>
      </c>
      <c r="K1432" s="14" t="str">
        <f t="shared" si="382"/>
        <v>Twitter for Android</v>
      </c>
      <c r="L1432" s="13">
        <v>894</v>
      </c>
      <c r="M1432" s="13">
        <v>1096</v>
      </c>
      <c r="N1432" s="13">
        <v>2</v>
      </c>
      <c r="O1432" s="15"/>
      <c r="P1432" s="6">
        <v>43358.491712962961</v>
      </c>
      <c r="Q1432" s="16" t="s">
        <v>5434</v>
      </c>
      <c r="R1432" s="17" t="s">
        <v>5435</v>
      </c>
      <c r="S1432" s="12"/>
      <c r="T1432" s="12"/>
      <c r="U1432" s="10" t="str">
        <f>HYPERLINK("https://pbs.twimg.com/profile_images/1040900925127368704/7EJpXhpU.jpg","View")</f>
        <v>View</v>
      </c>
    </row>
    <row r="1433" spans="1:21" ht="20.399999999999999">
      <c r="A1433" s="6">
        <v>43418.907314814816</v>
      </c>
      <c r="B1433" s="7" t="str">
        <f>HYPERLINK("https://twitter.com/CristianB_01","@CristianB_01")</f>
        <v>@CristianB_01</v>
      </c>
      <c r="C1433" s="8" t="s">
        <v>5436</v>
      </c>
      <c r="D1433" s="9" t="s">
        <v>5437</v>
      </c>
      <c r="E1433" s="10" t="str">
        <f>HYPERLINK("https://twitter.com/CristianB_01/status/1062809027720159234","1062809027720159234")</f>
        <v>1062809027720159234</v>
      </c>
      <c r="F1433" s="12"/>
      <c r="G1433" s="11" t="s">
        <v>5438</v>
      </c>
      <c r="H1433" s="12"/>
      <c r="I1433" s="13">
        <v>0</v>
      </c>
      <c r="J1433" s="13">
        <v>0</v>
      </c>
      <c r="K1433" s="14" t="str">
        <f t="shared" si="382"/>
        <v>Twitter for Android</v>
      </c>
      <c r="L1433" s="13">
        <v>630</v>
      </c>
      <c r="M1433" s="13">
        <v>856</v>
      </c>
      <c r="N1433" s="13">
        <v>14</v>
      </c>
      <c r="O1433" s="15"/>
      <c r="P1433" s="6">
        <v>40419.749456018515</v>
      </c>
      <c r="Q1433" s="16" t="s">
        <v>1152</v>
      </c>
      <c r="R1433" s="17" t="s">
        <v>5439</v>
      </c>
      <c r="S1433" s="11" t="s">
        <v>5440</v>
      </c>
      <c r="T1433" s="12"/>
      <c r="U1433" s="10" t="str">
        <f>HYPERLINK("https://pbs.twimg.com/profile_images/779437246445416449/tdcX-cUJ.jpg","View")</f>
        <v>View</v>
      </c>
    </row>
    <row r="1434" spans="1:21" ht="30.6">
      <c r="A1434" s="6">
        <v>43418.902777777781</v>
      </c>
      <c r="B1434" s="7" t="str">
        <f>HYPERLINK("https://twitter.com/RobertoArtero","@RobertoArtero")</f>
        <v>@RobertoArtero</v>
      </c>
      <c r="C1434" s="8" t="s">
        <v>4655</v>
      </c>
      <c r="D1434" s="9" t="s">
        <v>4656</v>
      </c>
      <c r="E1434" s="10" t="str">
        <f>HYPERLINK("https://twitter.com/RobertoArtero/status/1062807381992792065","1062807381992792065")</f>
        <v>1062807381992792065</v>
      </c>
      <c r="F1434" s="12"/>
      <c r="G1434" s="12"/>
      <c r="H1434" s="12"/>
      <c r="I1434" s="13">
        <v>0</v>
      </c>
      <c r="J1434" s="13">
        <v>1</v>
      </c>
      <c r="K1434" s="14" t="str">
        <f t="shared" si="382"/>
        <v>Twitter for Android</v>
      </c>
      <c r="L1434" s="13">
        <v>207</v>
      </c>
      <c r="M1434" s="13">
        <v>568</v>
      </c>
      <c r="N1434" s="13">
        <v>3</v>
      </c>
      <c r="O1434" s="15"/>
      <c r="P1434" s="6">
        <v>41023.535590277781</v>
      </c>
      <c r="Q1434" s="12"/>
      <c r="R1434" s="17" t="s">
        <v>4657</v>
      </c>
      <c r="S1434" s="12"/>
      <c r="T1434" s="12"/>
      <c r="U1434" s="10" t="str">
        <f>HYPERLINK("https://pbs.twimg.com/profile_images/1049754833228615687/XsWD0Zx3.jpg","View")</f>
        <v>View</v>
      </c>
    </row>
    <row r="1435" spans="1:21" ht="51">
      <c r="A1435" s="6">
        <v>43418.901076388887</v>
      </c>
      <c r="B1435" s="7" t="str">
        <f>HYPERLINK("https://twitter.com/EL00LEON","@EL00LEON")</f>
        <v>@EL00LEON</v>
      </c>
      <c r="C1435" s="8" t="s">
        <v>4658</v>
      </c>
      <c r="D1435" s="9" t="s">
        <v>4659</v>
      </c>
      <c r="E1435" s="10" t="str">
        <f>HYPERLINK("https://twitter.com/EL00LEON/status/1062806767216795665","1062806767216795665")</f>
        <v>1062806767216795665</v>
      </c>
      <c r="F1435" s="11" t="s">
        <v>4660</v>
      </c>
      <c r="G1435" s="11" t="s">
        <v>4251</v>
      </c>
      <c r="H1435" s="12"/>
      <c r="I1435" s="13">
        <v>0</v>
      </c>
      <c r="J1435" s="13">
        <v>0</v>
      </c>
      <c r="K1435" s="14" t="str">
        <f>HYPERLINK("http://twitter.com/download/iphone","Twitter for iPhone")</f>
        <v>Twitter for iPhone</v>
      </c>
      <c r="L1435" s="13">
        <v>660</v>
      </c>
      <c r="M1435" s="13">
        <v>433</v>
      </c>
      <c r="N1435" s="13">
        <v>13</v>
      </c>
      <c r="O1435" s="15"/>
      <c r="P1435" s="6">
        <v>42227.953958333332</v>
      </c>
      <c r="Q1435" s="12"/>
      <c r="R1435" s="21"/>
      <c r="S1435" s="12"/>
      <c r="T1435" s="12"/>
      <c r="U1435" s="10" t="str">
        <f>HYPERLINK("https://pbs.twimg.com/profile_images/631208801664937985/cIjOulWw.jpg","View")</f>
        <v>View</v>
      </c>
    </row>
    <row r="1436" spans="1:21" ht="102">
      <c r="A1436" s="6">
        <v>43418.899594907409</v>
      </c>
      <c r="B1436" s="7" t="str">
        <f>HYPERLINK("https://twitter.com/TheSpanishArmy1","@TheSpanishArmy1")</f>
        <v>@TheSpanishArmy1</v>
      </c>
      <c r="C1436" s="8" t="s">
        <v>4661</v>
      </c>
      <c r="D1436" s="9" t="s">
        <v>4662</v>
      </c>
      <c r="E1436" s="10" t="str">
        <f>HYPERLINK("https://twitter.com/TheSpanishArmy1/status/1062806230152945670","1062806230152945670")</f>
        <v>1062806230152945670</v>
      </c>
      <c r="F1436" s="11" t="s">
        <v>4663</v>
      </c>
      <c r="G1436" s="11" t="s">
        <v>4664</v>
      </c>
      <c r="H1436" s="12"/>
      <c r="I1436" s="13">
        <v>1</v>
      </c>
      <c r="J1436" s="13">
        <v>2</v>
      </c>
      <c r="K1436" s="14" t="str">
        <f>HYPERLINK("http://twitter.com/download/android","Twitter for Android")</f>
        <v>Twitter for Android</v>
      </c>
      <c r="L1436" s="13">
        <v>155</v>
      </c>
      <c r="M1436" s="13">
        <v>158</v>
      </c>
      <c r="N1436" s="13">
        <v>2</v>
      </c>
      <c r="O1436" s="15"/>
      <c r="P1436" s="6">
        <v>43346.98945601852</v>
      </c>
      <c r="Q1436" s="16" t="s">
        <v>66</v>
      </c>
      <c r="R1436" s="17" t="s">
        <v>4665</v>
      </c>
      <c r="S1436" s="11" t="s">
        <v>4666</v>
      </c>
      <c r="T1436" s="12"/>
      <c r="U1436" s="10" t="str">
        <f>HYPERLINK("https://pbs.twimg.com/profile_images/1036733264944418818/EjTke-fP.jpg","View")</f>
        <v>View</v>
      </c>
    </row>
    <row r="1437" spans="1:21" ht="40.799999999999997">
      <c r="A1437" s="6">
        <v>43418.898055555561</v>
      </c>
      <c r="B1437" s="7" t="str">
        <f>HYPERLINK("https://twitter.com/callejon2001","@callejon2001")</f>
        <v>@callejon2001</v>
      </c>
      <c r="C1437" s="8" t="s">
        <v>3735</v>
      </c>
      <c r="D1437" s="9" t="s">
        <v>4667</v>
      </c>
      <c r="E1437" s="10" t="str">
        <f>HYPERLINK("https://twitter.com/callejon2001/status/1062805669261254657","1062805669261254657")</f>
        <v>1062805669261254657</v>
      </c>
      <c r="F1437" s="12"/>
      <c r="G1437" s="12"/>
      <c r="H1437" s="12"/>
      <c r="I1437" s="13">
        <v>1</v>
      </c>
      <c r="J1437" s="13">
        <v>2</v>
      </c>
      <c r="K1437" s="14" t="str">
        <f t="shared" ref="K1437:K1438" si="383">HYPERLINK("http://twitter.com/download/iphone","Twitter for iPhone")</f>
        <v>Twitter for iPhone</v>
      </c>
      <c r="L1437" s="13">
        <v>360</v>
      </c>
      <c r="M1437" s="13">
        <v>832</v>
      </c>
      <c r="N1437" s="13">
        <v>2</v>
      </c>
      <c r="O1437" s="15"/>
      <c r="P1437" s="6">
        <v>40621.846817129626</v>
      </c>
      <c r="Q1437" s="12"/>
      <c r="R1437" s="17" t="s">
        <v>3737</v>
      </c>
      <c r="S1437" s="12"/>
      <c r="T1437" s="12"/>
      <c r="U1437" s="10" t="str">
        <f>HYPERLINK("https://pbs.twimg.com/profile_images/1059178549628821504/jQCY1lqJ.jpg","View")</f>
        <v>View</v>
      </c>
    </row>
    <row r="1438" spans="1:21" ht="30.6">
      <c r="A1438" s="6">
        <v>43418.897210648152</v>
      </c>
      <c r="B1438" s="7" t="str">
        <f>HYPERLINK("https://twitter.com/Jfdezgo90","@Jfdezgo90")</f>
        <v>@Jfdezgo90</v>
      </c>
      <c r="C1438" s="8" t="s">
        <v>2522</v>
      </c>
      <c r="D1438" s="9" t="s">
        <v>4669</v>
      </c>
      <c r="E1438" s="10" t="str">
        <f>HYPERLINK("https://twitter.com/Jfdezgo90/status/1062805363026788353","1062805363026788353")</f>
        <v>1062805363026788353</v>
      </c>
      <c r="F1438" s="12"/>
      <c r="G1438" s="12"/>
      <c r="H1438" s="12"/>
      <c r="I1438" s="13">
        <v>0</v>
      </c>
      <c r="J1438" s="13">
        <v>0</v>
      </c>
      <c r="K1438" s="14" t="str">
        <f t="shared" si="383"/>
        <v>Twitter for iPhone</v>
      </c>
      <c r="L1438" s="13">
        <v>1899</v>
      </c>
      <c r="M1438" s="13">
        <v>4115</v>
      </c>
      <c r="N1438" s="13">
        <v>13</v>
      </c>
      <c r="O1438" s="15"/>
      <c r="P1438" s="6">
        <v>41800.661921296298</v>
      </c>
      <c r="Q1438" s="16" t="s">
        <v>2524</v>
      </c>
      <c r="R1438" s="17" t="s">
        <v>2525</v>
      </c>
      <c r="S1438" s="11" t="s">
        <v>2526</v>
      </c>
      <c r="T1438" s="12"/>
      <c r="U1438" s="10" t="str">
        <f>HYPERLINK("https://pbs.twimg.com/profile_images/1013847005817442306/8BV0q5Ut.jpg","View")</f>
        <v>View</v>
      </c>
    </row>
    <row r="1439" spans="1:21" ht="61.2">
      <c r="A1439" s="6">
        <v>43418.896608796298</v>
      </c>
      <c r="B1439" s="7" t="str">
        <f>HYPERLINK("https://twitter.com/arman_22_","@arman_22_")</f>
        <v>@arman_22_</v>
      </c>
      <c r="C1439" s="8" t="s">
        <v>4675</v>
      </c>
      <c r="D1439" s="9" t="s">
        <v>4676</v>
      </c>
      <c r="E1439" s="10" t="str">
        <f>HYPERLINK("https://twitter.com/arman_22_/status/1062805144360964107","1062805144360964107")</f>
        <v>1062805144360964107</v>
      </c>
      <c r="F1439" s="12"/>
      <c r="G1439" s="12"/>
      <c r="H1439" s="12"/>
      <c r="I1439" s="13">
        <v>0</v>
      </c>
      <c r="J1439" s="13">
        <v>1</v>
      </c>
      <c r="K1439" s="14" t="str">
        <f>HYPERLINK("http://twitter.com/download/android","Twitter for Android")</f>
        <v>Twitter for Android</v>
      </c>
      <c r="L1439" s="13">
        <v>395</v>
      </c>
      <c r="M1439" s="13">
        <v>388</v>
      </c>
      <c r="N1439" s="13">
        <v>5</v>
      </c>
      <c r="O1439" s="15"/>
      <c r="P1439" s="6">
        <v>40933.69390046296</v>
      </c>
      <c r="Q1439" s="16" t="s">
        <v>1152</v>
      </c>
      <c r="R1439" s="17" t="s">
        <v>4680</v>
      </c>
      <c r="S1439" s="12"/>
      <c r="T1439" s="12"/>
      <c r="U1439" s="10" t="str">
        <f>HYPERLINK("https://pbs.twimg.com/profile_images/1065548683318579200/hFoNGKUz.jpg","View")</f>
        <v>View</v>
      </c>
    </row>
    <row r="1440" spans="1:21" ht="30.6">
      <c r="A1440" s="6">
        <v>43418.896307870367</v>
      </c>
      <c r="B1440" s="7" t="str">
        <f>HYPERLINK("https://twitter.com/asivaespana_com","@asivaespana_com")</f>
        <v>@asivaespana_com</v>
      </c>
      <c r="C1440" s="8" t="s">
        <v>5441</v>
      </c>
      <c r="D1440" s="9" t="s">
        <v>5442</v>
      </c>
      <c r="E1440" s="10" t="str">
        <f>HYPERLINK("https://twitter.com/asivaespana_com/status/1062805037150363648","1062805037150363648")</f>
        <v>1062805037150363648</v>
      </c>
      <c r="F1440" s="11" t="s">
        <v>5443</v>
      </c>
      <c r="G1440" s="12"/>
      <c r="H1440" s="12"/>
      <c r="I1440" s="13">
        <v>0</v>
      </c>
      <c r="J1440" s="13">
        <v>0</v>
      </c>
      <c r="K1440" s="14" t="str">
        <f>HYPERLINK("http://www.asivaespana.com","Así va España")</f>
        <v>Así va España</v>
      </c>
      <c r="L1440" s="13">
        <v>4403</v>
      </c>
      <c r="M1440" s="13">
        <v>31</v>
      </c>
      <c r="N1440" s="13">
        <v>49</v>
      </c>
      <c r="O1440" s="15"/>
      <c r="P1440" s="6">
        <v>40772.838576388887</v>
      </c>
      <c r="Q1440" s="16" t="s">
        <v>66</v>
      </c>
      <c r="R1440" s="17" t="s">
        <v>5444</v>
      </c>
      <c r="S1440" s="11" t="s">
        <v>5445</v>
      </c>
      <c r="T1440" s="12"/>
      <c r="U1440" s="10" t="str">
        <f>HYPERLINK("https://pbs.twimg.com/profile_images/606096519796768769/A1npKoi0.png","View")</f>
        <v>View</v>
      </c>
    </row>
    <row r="1441" spans="1:21" ht="51">
      <c r="A1441" s="6">
        <v>43418.894224537042</v>
      </c>
      <c r="B1441" s="7" t="str">
        <f>HYPERLINK("https://twitter.com/castillo_albert","@castillo_albert")</f>
        <v>@castillo_albert</v>
      </c>
      <c r="C1441" s="8" t="s">
        <v>4681</v>
      </c>
      <c r="D1441" s="9" t="s">
        <v>4682</v>
      </c>
      <c r="E1441" s="10" t="str">
        <f>HYPERLINK("https://twitter.com/castillo_albert/status/1062804283970732033","1062804283970732033")</f>
        <v>1062804283970732033</v>
      </c>
      <c r="F1441" s="12"/>
      <c r="G1441" s="12"/>
      <c r="H1441" s="12"/>
      <c r="I1441" s="13">
        <v>3</v>
      </c>
      <c r="J1441" s="13">
        <v>14</v>
      </c>
      <c r="K1441" s="14" t="str">
        <f>HYPERLINK("http://twitter.com/download/iphone","Twitter for iPhone")</f>
        <v>Twitter for iPhone</v>
      </c>
      <c r="L1441" s="13">
        <v>6686</v>
      </c>
      <c r="M1441" s="13">
        <v>1826</v>
      </c>
      <c r="N1441" s="13">
        <v>151</v>
      </c>
      <c r="O1441" s="15"/>
      <c r="P1441" s="6">
        <v>40596.52138888889</v>
      </c>
      <c r="Q1441" s="16" t="s">
        <v>2126</v>
      </c>
      <c r="R1441" s="17" t="s">
        <v>4683</v>
      </c>
      <c r="S1441" s="11" t="s">
        <v>4684</v>
      </c>
      <c r="T1441" s="12"/>
      <c r="U1441" s="10" t="str">
        <f>HYPERLINK("https://pbs.twimg.com/profile_images/947079326674980869/f-g4pE0j.jpg","View")</f>
        <v>View</v>
      </c>
    </row>
    <row r="1442" spans="1:21" ht="20.399999999999999">
      <c r="A1442" s="6">
        <v>43418.892870370371</v>
      </c>
      <c r="B1442" s="7" t="str">
        <f>HYPERLINK("https://twitter.com/LajarinPablo","@LajarinPablo")</f>
        <v>@LajarinPablo</v>
      </c>
      <c r="C1442" s="8" t="s">
        <v>4685</v>
      </c>
      <c r="D1442" s="9" t="s">
        <v>4686</v>
      </c>
      <c r="E1442" s="10" t="str">
        <f>HYPERLINK("https://twitter.com/LajarinPablo/status/1062803790464720896","1062803790464720896")</f>
        <v>1062803790464720896</v>
      </c>
      <c r="F1442" s="12"/>
      <c r="G1442" s="11" t="s">
        <v>4687</v>
      </c>
      <c r="H1442" s="12"/>
      <c r="I1442" s="13">
        <v>0</v>
      </c>
      <c r="J1442" s="13">
        <v>2</v>
      </c>
      <c r="K1442" s="14" t="str">
        <f t="shared" ref="K1442:K1443" si="384">HYPERLINK("https://mobile.twitter.com","Twitter Lite")</f>
        <v>Twitter Lite</v>
      </c>
      <c r="L1442" s="13">
        <v>147</v>
      </c>
      <c r="M1442" s="13">
        <v>246</v>
      </c>
      <c r="N1442" s="13">
        <v>7</v>
      </c>
      <c r="O1442" s="15"/>
      <c r="P1442" s="6">
        <v>42280.025034722217</v>
      </c>
      <c r="Q1442" s="12"/>
      <c r="R1442" s="17" t="s">
        <v>4688</v>
      </c>
      <c r="S1442" s="12"/>
      <c r="T1442" s="12"/>
      <c r="U1442" s="10" t="str">
        <f>HYPERLINK("https://pbs.twimg.com/profile_images/749574811173658624/8HwuYp3W.jpg","View")</f>
        <v>View</v>
      </c>
    </row>
    <row r="1443" spans="1:21" ht="30.6">
      <c r="A1443" s="6">
        <v>43418.889791666668</v>
      </c>
      <c r="B1443" s="7" t="str">
        <f>HYPERLINK("https://twitter.com/RevoluSSSion","@RevoluSSSion")</f>
        <v>@RevoluSSSion</v>
      </c>
      <c r="C1443" s="8" t="s">
        <v>4689</v>
      </c>
      <c r="D1443" s="9" t="s">
        <v>4690</v>
      </c>
      <c r="E1443" s="10" t="str">
        <f>HYPERLINK("https://twitter.com/RevoluSSSion/status/1062802677845889025","1062802677845889025")</f>
        <v>1062802677845889025</v>
      </c>
      <c r="F1443" s="12"/>
      <c r="G1443" s="12"/>
      <c r="H1443" s="12"/>
      <c r="I1443" s="13">
        <v>0</v>
      </c>
      <c r="J1443" s="13">
        <v>1</v>
      </c>
      <c r="K1443" s="14" t="str">
        <f t="shared" si="384"/>
        <v>Twitter Lite</v>
      </c>
      <c r="L1443" s="13">
        <v>688</v>
      </c>
      <c r="M1443" s="13">
        <v>165</v>
      </c>
      <c r="N1443" s="13">
        <v>10</v>
      </c>
      <c r="O1443" s="15"/>
      <c r="P1443" s="6">
        <v>41716.75854166667</v>
      </c>
      <c r="Q1443" s="16" t="s">
        <v>4691</v>
      </c>
      <c r="R1443" s="17" t="s">
        <v>4692</v>
      </c>
      <c r="S1443" s="12"/>
      <c r="T1443" s="12"/>
      <c r="U1443" s="10" t="str">
        <f>HYPERLINK("https://pbs.twimg.com/profile_images/909049319185108992/D9aFi7y-.jpg","View")</f>
        <v>View</v>
      </c>
    </row>
    <row r="1444" spans="1:21" ht="20.399999999999999">
      <c r="A1444" s="6">
        <v>43418.888368055559</v>
      </c>
      <c r="B1444" s="7" t="str">
        <f>HYPERLINK("https://twitter.com/DelfinCorcoles","@DelfinCorcoles")</f>
        <v>@DelfinCorcoles</v>
      </c>
      <c r="C1444" s="8" t="s">
        <v>4693</v>
      </c>
      <c r="D1444" s="9" t="s">
        <v>4694</v>
      </c>
      <c r="E1444" s="10" t="str">
        <f>HYPERLINK("https://twitter.com/DelfinCorcoles/status/1062802161380270088","1062802161380270088")</f>
        <v>1062802161380270088</v>
      </c>
      <c r="F1444" s="12"/>
      <c r="G1444" s="12"/>
      <c r="H1444" s="12"/>
      <c r="I1444" s="13">
        <v>0</v>
      </c>
      <c r="J1444" s="13">
        <v>0</v>
      </c>
      <c r="K1444" s="14" t="str">
        <f>HYPERLINK("http://twitter.com/download/android","Twitter for Android")</f>
        <v>Twitter for Android</v>
      </c>
      <c r="L1444" s="13">
        <v>408</v>
      </c>
      <c r="M1444" s="13">
        <v>461</v>
      </c>
      <c r="N1444" s="13">
        <v>1</v>
      </c>
      <c r="O1444" s="15"/>
      <c r="P1444" s="6">
        <v>41655.901296296295</v>
      </c>
      <c r="Q1444" s="12"/>
      <c r="R1444" s="21"/>
      <c r="S1444" s="12"/>
      <c r="T1444" s="12"/>
      <c r="U1444" s="10" t="str">
        <f>HYPERLINK("https://pbs.twimg.com/profile_images/978220185739022336/hKZhaw7N.jpg","View")</f>
        <v>View</v>
      </c>
    </row>
    <row r="1445" spans="1:21" ht="40.799999999999997">
      <c r="A1445" s="6">
        <v>43418.885324074072</v>
      </c>
      <c r="B1445" s="7" t="str">
        <f>HYPERLINK("https://twitter.com/jmsalvade","@jmsalvade")</f>
        <v>@jmsalvade</v>
      </c>
      <c r="C1445" s="8" t="s">
        <v>611</v>
      </c>
      <c r="D1445" s="9" t="s">
        <v>4276</v>
      </c>
      <c r="E1445" s="10" t="str">
        <f>HYPERLINK("https://twitter.com/jmsalvade/status/1062801056961306638","1062801056961306638")</f>
        <v>1062801056961306638</v>
      </c>
      <c r="F1445" s="11" t="s">
        <v>1209</v>
      </c>
      <c r="G1445" s="12"/>
      <c r="H1445" s="12"/>
      <c r="I1445" s="13">
        <v>0</v>
      </c>
      <c r="J1445" s="13">
        <v>0</v>
      </c>
      <c r="K1445" s="14" t="str">
        <f>HYPERLINK("http://twitter.com/download/iphone","Twitter for iPhone")</f>
        <v>Twitter for iPhone</v>
      </c>
      <c r="L1445" s="13">
        <v>361</v>
      </c>
      <c r="M1445" s="13">
        <v>693</v>
      </c>
      <c r="N1445" s="13">
        <v>15</v>
      </c>
      <c r="O1445" s="15"/>
      <c r="P1445" s="6">
        <v>41260.869745370372</v>
      </c>
      <c r="Q1445" s="12"/>
      <c r="R1445" s="17" t="s">
        <v>615</v>
      </c>
      <c r="S1445" s="11" t="s">
        <v>616</v>
      </c>
      <c r="T1445" s="12"/>
      <c r="U1445" s="10" t="str">
        <f>HYPERLINK("https://pbs.twimg.com/profile_images/455739214663917568/tdXuqCOx.jpeg","View")</f>
        <v>View</v>
      </c>
    </row>
    <row r="1446" spans="1:21" ht="20.399999999999999">
      <c r="A1446" s="6">
        <v>43418.883483796293</v>
      </c>
      <c r="B1446" s="7" t="str">
        <f t="shared" ref="B1446:B1447" si="385">HYPERLINK("https://twitter.com/DelfinCorcoles","@DelfinCorcoles")</f>
        <v>@DelfinCorcoles</v>
      </c>
      <c r="C1446" s="8" t="s">
        <v>4693</v>
      </c>
      <c r="D1446" s="9" t="s">
        <v>4695</v>
      </c>
      <c r="E1446" s="10" t="str">
        <f>HYPERLINK("https://twitter.com/DelfinCorcoles/status/1062800391140728833","1062800391140728833")</f>
        <v>1062800391140728833</v>
      </c>
      <c r="F1446" s="12"/>
      <c r="G1446" s="12"/>
      <c r="H1446" s="12"/>
      <c r="I1446" s="13">
        <v>0</v>
      </c>
      <c r="J1446" s="13">
        <v>0</v>
      </c>
      <c r="K1446" s="14" t="str">
        <f t="shared" ref="K1446:K1447" si="386">HYPERLINK("http://twitter.com/download/android","Twitter for Android")</f>
        <v>Twitter for Android</v>
      </c>
      <c r="L1446" s="13">
        <v>408</v>
      </c>
      <c r="M1446" s="13">
        <v>461</v>
      </c>
      <c r="N1446" s="13">
        <v>1</v>
      </c>
      <c r="O1446" s="15"/>
      <c r="P1446" s="6">
        <v>41655.901296296295</v>
      </c>
      <c r="Q1446" s="12"/>
      <c r="R1446" s="21"/>
      <c r="S1446" s="12"/>
      <c r="T1446" s="12"/>
      <c r="U1446" s="10" t="str">
        <f t="shared" ref="U1446:U1447" si="387">HYPERLINK("https://pbs.twimg.com/profile_images/978220185739022336/hKZhaw7N.jpg","View")</f>
        <v>View</v>
      </c>
    </row>
    <row r="1447" spans="1:21" ht="20.399999999999999">
      <c r="A1447" s="6">
        <v>43418.88108796296</v>
      </c>
      <c r="B1447" s="7" t="str">
        <f t="shared" si="385"/>
        <v>@DelfinCorcoles</v>
      </c>
      <c r="C1447" s="8" t="s">
        <v>4693</v>
      </c>
      <c r="D1447" s="9" t="s">
        <v>4696</v>
      </c>
      <c r="E1447" s="10" t="str">
        <f>HYPERLINK("https://twitter.com/DelfinCorcoles/status/1062799521636368385","1062799521636368385")</f>
        <v>1062799521636368385</v>
      </c>
      <c r="F1447" s="12"/>
      <c r="G1447" s="11" t="s">
        <v>4697</v>
      </c>
      <c r="H1447" s="12"/>
      <c r="I1447" s="13">
        <v>0</v>
      </c>
      <c r="J1447" s="13">
        <v>2</v>
      </c>
      <c r="K1447" s="14" t="str">
        <f t="shared" si="386"/>
        <v>Twitter for Android</v>
      </c>
      <c r="L1447" s="13">
        <v>408</v>
      </c>
      <c r="M1447" s="13">
        <v>461</v>
      </c>
      <c r="N1447" s="13">
        <v>1</v>
      </c>
      <c r="O1447" s="15"/>
      <c r="P1447" s="6">
        <v>41655.901296296295</v>
      </c>
      <c r="Q1447" s="12"/>
      <c r="R1447" s="21"/>
      <c r="S1447" s="12"/>
      <c r="T1447" s="12"/>
      <c r="U1447" s="10" t="str">
        <f t="shared" si="387"/>
        <v>View</v>
      </c>
    </row>
    <row r="1448" spans="1:21" ht="51">
      <c r="A1448" s="6">
        <v>43418.879895833335</v>
      </c>
      <c r="B1448" s="7" t="str">
        <f>HYPERLINK("https://twitter.com/vox_es","@vox_es")</f>
        <v>@vox_es</v>
      </c>
      <c r="C1448" s="8" t="s">
        <v>689</v>
      </c>
      <c r="D1448" s="9" t="s">
        <v>4698</v>
      </c>
      <c r="E1448" s="10" t="str">
        <f>HYPERLINK("https://twitter.com/vox_es/status/1062799090260557824","1062799090260557824")</f>
        <v>1062799090260557824</v>
      </c>
      <c r="F1448" s="12"/>
      <c r="G1448" s="11" t="s">
        <v>4047</v>
      </c>
      <c r="H1448" s="12"/>
      <c r="I1448" s="13">
        <v>2606</v>
      </c>
      <c r="J1448" s="13">
        <v>2744</v>
      </c>
      <c r="K1448" s="14" t="str">
        <f>HYPERLINK("http://twitter.com","Twitter Web Client")</f>
        <v>Twitter Web Client</v>
      </c>
      <c r="L1448" s="13">
        <v>122548</v>
      </c>
      <c r="M1448" s="13">
        <v>915</v>
      </c>
      <c r="N1448" s="13">
        <v>919</v>
      </c>
      <c r="O1448" s="23" t="s">
        <v>186</v>
      </c>
      <c r="P1448" s="6">
        <v>41596.746655092589</v>
      </c>
      <c r="Q1448" s="12"/>
      <c r="R1448" s="17" t="s">
        <v>694</v>
      </c>
      <c r="S1448" s="11" t="s">
        <v>187</v>
      </c>
      <c r="T1448" s="12"/>
      <c r="U1448" s="10" t="str">
        <f>HYPERLINK("https://pbs.twimg.com/profile_images/1016653788617363456/m3b3jqW5.jpg","View")</f>
        <v>View</v>
      </c>
    </row>
    <row r="1449" spans="1:21" ht="61.2">
      <c r="A1449" s="6">
        <v>43418.878946759258</v>
      </c>
      <c r="B1449" s="7" t="str">
        <f>HYPERLINK("https://twitter.com/Charlie_culeee","@Charlie_culeee")</f>
        <v>@Charlie_culeee</v>
      </c>
      <c r="C1449" s="8" t="s">
        <v>347</v>
      </c>
      <c r="D1449" s="9" t="s">
        <v>4699</v>
      </c>
      <c r="E1449" s="10" t="str">
        <f>HYPERLINK("https://twitter.com/Charlie_culeee/status/1062798747061624832","1062798747061624832")</f>
        <v>1062798747061624832</v>
      </c>
      <c r="F1449" s="16" t="s">
        <v>4702</v>
      </c>
      <c r="G1449" s="12"/>
      <c r="H1449" s="12"/>
      <c r="I1449" s="13">
        <v>0</v>
      </c>
      <c r="J1449" s="13">
        <v>0</v>
      </c>
      <c r="K1449" s="14" t="str">
        <f t="shared" ref="K1449:K1450" si="388">HYPERLINK("http://twitter.com/download/iphone","Twitter for iPhone")</f>
        <v>Twitter for iPhone</v>
      </c>
      <c r="L1449" s="13">
        <v>498</v>
      </c>
      <c r="M1449" s="13">
        <v>559</v>
      </c>
      <c r="N1449" s="13">
        <v>18</v>
      </c>
      <c r="O1449" s="15"/>
      <c r="P1449" s="6">
        <v>40545.809502314813</v>
      </c>
      <c r="Q1449" s="16" t="s">
        <v>351</v>
      </c>
      <c r="R1449" s="21"/>
      <c r="S1449" s="12"/>
      <c r="T1449" s="12"/>
      <c r="U1449" s="10" t="str">
        <f>HYPERLINK("https://pbs.twimg.com/profile_images/3711978684/2097976c6f4dc3d54dfb4d1fd1379c02.jpeg","View")</f>
        <v>View</v>
      </c>
    </row>
    <row r="1450" spans="1:21" ht="30.6">
      <c r="A1450" s="6">
        <v>43418.877812499995</v>
      </c>
      <c r="B1450" s="7" t="str">
        <f>HYPERLINK("https://twitter.com/VOX_Albacete","@VOX_Albacete")</f>
        <v>@VOX_Albacete</v>
      </c>
      <c r="C1450" s="8" t="s">
        <v>917</v>
      </c>
      <c r="D1450" s="9" t="s">
        <v>4705</v>
      </c>
      <c r="E1450" s="10" t="str">
        <f>HYPERLINK("https://twitter.com/VOX_Albacete/status/1062798332899328000","1062798332899328000")</f>
        <v>1062798332899328000</v>
      </c>
      <c r="F1450" s="12"/>
      <c r="G1450" s="11" t="s">
        <v>4706</v>
      </c>
      <c r="H1450" s="12"/>
      <c r="I1450" s="13">
        <v>10</v>
      </c>
      <c r="J1450" s="13">
        <v>13</v>
      </c>
      <c r="K1450" s="14" t="str">
        <f t="shared" si="388"/>
        <v>Twitter for iPhone</v>
      </c>
      <c r="L1450" s="13">
        <v>2205</v>
      </c>
      <c r="M1450" s="13">
        <v>1852</v>
      </c>
      <c r="N1450" s="13">
        <v>19</v>
      </c>
      <c r="O1450" s="15"/>
      <c r="P1450" s="6">
        <v>41706.999259259261</v>
      </c>
      <c r="Q1450" s="16" t="s">
        <v>922</v>
      </c>
      <c r="R1450" s="17" t="s">
        <v>923</v>
      </c>
      <c r="S1450" s="11" t="s">
        <v>924</v>
      </c>
      <c r="T1450" s="12"/>
      <c r="U1450" s="10" t="str">
        <f>HYPERLINK("https://pbs.twimg.com/profile_images/772272127798087680/5T0wLc67.jpg","View")</f>
        <v>View</v>
      </c>
    </row>
    <row r="1451" spans="1:21" ht="51">
      <c r="A1451" s="6">
        <v>43418.876388888893</v>
      </c>
      <c r="B1451" s="7" t="str">
        <f t="shared" ref="B1451:B1452" si="389">HYPERLINK("https://twitter.com/bitMomentum","@bitMomentum")</f>
        <v>@bitMomentum</v>
      </c>
      <c r="C1451" s="8" t="s">
        <v>368</v>
      </c>
      <c r="D1451" s="9" t="s">
        <v>4709</v>
      </c>
      <c r="E1451" s="10" t="str">
        <f>HYPERLINK("https://twitter.com/bitMomentum/status/1062797817490694146","1062797817490694146")</f>
        <v>1062797817490694146</v>
      </c>
      <c r="F1451" s="12"/>
      <c r="G1451" s="12"/>
      <c r="H1451" s="12"/>
      <c r="I1451" s="13">
        <v>0</v>
      </c>
      <c r="J1451" s="13">
        <v>0</v>
      </c>
      <c r="K1451" s="14" t="str">
        <f t="shared" ref="K1451:K1452" si="390">HYPERLINK("http://www.bitmomentum.com","bitMomentum Bot")</f>
        <v>bitMomentum Bot</v>
      </c>
      <c r="L1451" s="13">
        <v>10132</v>
      </c>
      <c r="M1451" s="13">
        <v>1060</v>
      </c>
      <c r="N1451" s="13">
        <v>267</v>
      </c>
      <c r="O1451" s="15"/>
      <c r="P1451" s="6">
        <v>41608.667511574073</v>
      </c>
      <c r="Q1451" s="12"/>
      <c r="R1451" s="17" t="s">
        <v>371</v>
      </c>
      <c r="S1451" s="11" t="s">
        <v>372</v>
      </c>
      <c r="T1451" s="12"/>
      <c r="U1451" s="10" t="str">
        <f t="shared" ref="U1451:U1452" si="391">HYPERLINK("https://pbs.twimg.com/profile_images/378800000862185241/20ij2H3u.png","View")</f>
        <v>View</v>
      </c>
    </row>
    <row r="1452" spans="1:21" ht="51">
      <c r="A1452" s="6">
        <v>43418.875694444447</v>
      </c>
      <c r="B1452" s="7" t="str">
        <f t="shared" si="389"/>
        <v>@bitMomentum</v>
      </c>
      <c r="C1452" s="8" t="s">
        <v>368</v>
      </c>
      <c r="D1452" s="9" t="s">
        <v>4710</v>
      </c>
      <c r="E1452" s="10" t="str">
        <f>HYPERLINK("https://twitter.com/bitMomentum/status/1062797565786312704","1062797565786312704")</f>
        <v>1062797565786312704</v>
      </c>
      <c r="F1452" s="12"/>
      <c r="G1452" s="12"/>
      <c r="H1452" s="12"/>
      <c r="I1452" s="13">
        <v>0</v>
      </c>
      <c r="J1452" s="13">
        <v>1</v>
      </c>
      <c r="K1452" s="14" t="str">
        <f t="shared" si="390"/>
        <v>bitMomentum Bot</v>
      </c>
      <c r="L1452" s="13">
        <v>10132</v>
      </c>
      <c r="M1452" s="13">
        <v>1060</v>
      </c>
      <c r="N1452" s="13">
        <v>267</v>
      </c>
      <c r="O1452" s="15"/>
      <c r="P1452" s="6">
        <v>41608.667511574073</v>
      </c>
      <c r="Q1452" s="12"/>
      <c r="R1452" s="17" t="s">
        <v>371</v>
      </c>
      <c r="S1452" s="11" t="s">
        <v>372</v>
      </c>
      <c r="T1452" s="12"/>
      <c r="U1452" s="10" t="str">
        <f t="shared" si="391"/>
        <v>View</v>
      </c>
    </row>
    <row r="1453" spans="1:21" ht="51">
      <c r="A1453" s="6">
        <v>43418.874178240745</v>
      </c>
      <c r="B1453" s="7" t="str">
        <f>HYPERLINK("https://twitter.com/EsojSabir","@EsojSabir")</f>
        <v>@EsojSabir</v>
      </c>
      <c r="C1453" s="8" t="s">
        <v>2449</v>
      </c>
      <c r="D1453" s="9" t="s">
        <v>4711</v>
      </c>
      <c r="E1453" s="10" t="str">
        <f>HYPERLINK("https://twitter.com/EsojSabir/status/1062797018056323074","1062797018056323074")</f>
        <v>1062797018056323074</v>
      </c>
      <c r="F1453" s="16" t="s">
        <v>4712</v>
      </c>
      <c r="G1453" s="11" t="s">
        <v>4713</v>
      </c>
      <c r="H1453" s="12"/>
      <c r="I1453" s="13">
        <v>0</v>
      </c>
      <c r="J1453" s="13">
        <v>0</v>
      </c>
      <c r="K1453" s="14" t="str">
        <f>HYPERLINK("http://twitter.com/download/iphone","Twitter for iPhone")</f>
        <v>Twitter for iPhone</v>
      </c>
      <c r="L1453" s="13">
        <v>542</v>
      </c>
      <c r="M1453" s="13">
        <v>956</v>
      </c>
      <c r="N1453" s="13">
        <v>4</v>
      </c>
      <c r="O1453" s="15"/>
      <c r="P1453" s="6">
        <v>40801.47246527778</v>
      </c>
      <c r="Q1453" s="16" t="s">
        <v>571</v>
      </c>
      <c r="R1453" s="17" t="s">
        <v>2452</v>
      </c>
      <c r="S1453" s="12"/>
      <c r="T1453" s="12"/>
      <c r="U1453" s="10" t="str">
        <f>HYPERLINK("https://pbs.twimg.com/profile_images/648536228791459840/34hQ0gLu.jpg","View")</f>
        <v>View</v>
      </c>
    </row>
    <row r="1454" spans="1:21" ht="40.799999999999997">
      <c r="A1454" s="6">
        <v>43418.873865740738</v>
      </c>
      <c r="B1454" s="7" t="str">
        <f>HYPERLINK("https://twitter.com/CasoAislado_Es","@CasoAislado_Es")</f>
        <v>@CasoAislado_Es</v>
      </c>
      <c r="C1454" s="8" t="s">
        <v>530</v>
      </c>
      <c r="D1454" s="9" t="s">
        <v>4717</v>
      </c>
      <c r="E1454" s="10" t="str">
        <f>HYPERLINK("https://twitter.com/CasoAislado_Es/status/1062796902830346240","1062796902830346240")</f>
        <v>1062796902830346240</v>
      </c>
      <c r="F1454" s="12"/>
      <c r="G1454" s="11" t="s">
        <v>4718</v>
      </c>
      <c r="H1454" s="12"/>
      <c r="I1454" s="13">
        <v>46</v>
      </c>
      <c r="J1454" s="13">
        <v>69</v>
      </c>
      <c r="K1454" s="14" t="str">
        <f>HYPERLINK("http://twitter.com","Twitter Web Client")</f>
        <v>Twitter Web Client</v>
      </c>
      <c r="L1454" s="13">
        <v>20849</v>
      </c>
      <c r="M1454" s="13">
        <v>6396</v>
      </c>
      <c r="N1454" s="13">
        <v>145</v>
      </c>
      <c r="O1454" s="15"/>
      <c r="P1454" s="6">
        <v>40257.560439814813</v>
      </c>
      <c r="Q1454" s="16" t="s">
        <v>533</v>
      </c>
      <c r="R1454" s="17" t="s">
        <v>534</v>
      </c>
      <c r="S1454" s="11" t="s">
        <v>535</v>
      </c>
      <c r="T1454" s="12"/>
      <c r="U1454" s="10" t="str">
        <f>HYPERLINK("https://pbs.twimg.com/profile_images/818503412702707713/QK1J8CEn.jpg","View")</f>
        <v>View</v>
      </c>
    </row>
    <row r="1455" spans="1:21" ht="51">
      <c r="A1455" s="6">
        <v>43418.865416666667</v>
      </c>
      <c r="B1455" s="7" t="str">
        <f>HYPERLINK("https://twitter.com/robersanchezgar","@robersanchezgar")</f>
        <v>@robersanchezgar</v>
      </c>
      <c r="C1455" s="8" t="s">
        <v>4719</v>
      </c>
      <c r="D1455" s="9" t="s">
        <v>4720</v>
      </c>
      <c r="E1455" s="10" t="str">
        <f>HYPERLINK("https://twitter.com/robersanchezgar/status/1062793842221572102","1062793842221572102")</f>
        <v>1062793842221572102</v>
      </c>
      <c r="F1455" s="12"/>
      <c r="G1455" s="12"/>
      <c r="H1455" s="12"/>
      <c r="I1455" s="13">
        <v>0</v>
      </c>
      <c r="J1455" s="13">
        <v>1</v>
      </c>
      <c r="K1455" s="14" t="str">
        <f>HYPERLINK("http://twitter.com/download/iphone","Twitter for iPhone")</f>
        <v>Twitter for iPhone</v>
      </c>
      <c r="L1455" s="13">
        <v>309</v>
      </c>
      <c r="M1455" s="13">
        <v>560</v>
      </c>
      <c r="N1455" s="13">
        <v>5</v>
      </c>
      <c r="O1455" s="15"/>
      <c r="P1455" s="6">
        <v>40604.449317129627</v>
      </c>
      <c r="Q1455" s="16" t="s">
        <v>104</v>
      </c>
      <c r="R1455" s="17" t="s">
        <v>4722</v>
      </c>
      <c r="S1455" s="12"/>
      <c r="T1455" s="12"/>
      <c r="U1455" s="10" t="str">
        <f>HYPERLINK("https://pbs.twimg.com/profile_images/792476721891176448/cOBghDcT.jpg","View")</f>
        <v>View</v>
      </c>
    </row>
    <row r="1456" spans="1:21" ht="61.2">
      <c r="A1456" s="6">
        <v>43418.864629629628</v>
      </c>
      <c r="B1456" s="7" t="str">
        <f>HYPERLINK("https://twitter.com/lunadebenidorm","@lunadebenidorm")</f>
        <v>@lunadebenidorm</v>
      </c>
      <c r="C1456" s="8" t="s">
        <v>106</v>
      </c>
      <c r="D1456" s="9" t="s">
        <v>4723</v>
      </c>
      <c r="E1456" s="10" t="str">
        <f>HYPERLINK("https://twitter.com/lunadebenidorm/status/1062793558296535040","1062793558296535040")</f>
        <v>1062793558296535040</v>
      </c>
      <c r="F1456" s="11" t="s">
        <v>4724</v>
      </c>
      <c r="G1456" s="12"/>
      <c r="H1456" s="12"/>
      <c r="I1456" s="13">
        <v>0</v>
      </c>
      <c r="J1456" s="13">
        <v>2</v>
      </c>
      <c r="K1456" s="14" t="str">
        <f t="shared" ref="K1456:K1458" si="392">HYPERLINK("http://twitter.com/download/android","Twitter for Android")</f>
        <v>Twitter for Android</v>
      </c>
      <c r="L1456" s="13">
        <v>3991</v>
      </c>
      <c r="M1456" s="13">
        <v>3978</v>
      </c>
      <c r="N1456" s="13">
        <v>79</v>
      </c>
      <c r="O1456" s="15"/>
      <c r="P1456" s="6">
        <v>41461.81186342593</v>
      </c>
      <c r="Q1456" s="12"/>
      <c r="R1456" s="17" t="s">
        <v>108</v>
      </c>
      <c r="S1456" s="12"/>
      <c r="T1456" s="12"/>
      <c r="U1456" s="10" t="str">
        <f>HYPERLINK("https://pbs.twimg.com/profile_images/1061229593758257153/rePCQt08.jpg","View")</f>
        <v>View</v>
      </c>
    </row>
    <row r="1457" spans="1:21" ht="40.799999999999997">
      <c r="A1457" s="6">
        <v>43418.863877314812</v>
      </c>
      <c r="B1457" s="7" t="str">
        <f>HYPERLINK("https://twitter.com/danidcstr","@danidcstr")</f>
        <v>@danidcstr</v>
      </c>
      <c r="C1457" s="8" t="s">
        <v>5446</v>
      </c>
      <c r="D1457" s="9" t="s">
        <v>5447</v>
      </c>
      <c r="E1457" s="10" t="str">
        <f>HYPERLINK("https://twitter.com/danidcstr/status/1062793284991508480","1062793284991508480")</f>
        <v>1062793284991508480</v>
      </c>
      <c r="F1457" s="12"/>
      <c r="G1457" s="12"/>
      <c r="H1457" s="12"/>
      <c r="I1457" s="13">
        <v>0</v>
      </c>
      <c r="J1457" s="13">
        <v>1</v>
      </c>
      <c r="K1457" s="14" t="str">
        <f t="shared" si="392"/>
        <v>Twitter for Android</v>
      </c>
      <c r="L1457" s="13">
        <v>699</v>
      </c>
      <c r="M1457" s="13">
        <v>495</v>
      </c>
      <c r="N1457" s="13">
        <v>38</v>
      </c>
      <c r="O1457" s="15"/>
      <c r="P1457" s="6">
        <v>39774.760729166665</v>
      </c>
      <c r="Q1457" s="16" t="s">
        <v>5448</v>
      </c>
      <c r="R1457" s="17" t="s">
        <v>5449</v>
      </c>
      <c r="S1457" s="12"/>
      <c r="T1457" s="12"/>
      <c r="U1457" s="10" t="str">
        <f>HYPERLINK("https://pbs.twimg.com/profile_images/1061650862576025602/xbEOR3mR.jpg","View")</f>
        <v>View</v>
      </c>
    </row>
    <row r="1458" spans="1:21" ht="122.4">
      <c r="A1458" s="6">
        <v>43418.863541666666</v>
      </c>
      <c r="B1458" s="7" t="str">
        <f>HYPERLINK("https://twitter.com/odin_freya","@odin_freya")</f>
        <v>@odin_freya</v>
      </c>
      <c r="C1458" s="8" t="s">
        <v>4570</v>
      </c>
      <c r="D1458" s="9" t="s">
        <v>4725</v>
      </c>
      <c r="E1458" s="10" t="str">
        <f>HYPERLINK("https://twitter.com/odin_freya/status/1062793162920521728","1062793162920521728")</f>
        <v>1062793162920521728</v>
      </c>
      <c r="F1458" s="11" t="s">
        <v>4296</v>
      </c>
      <c r="G1458" s="11" t="s">
        <v>4297</v>
      </c>
      <c r="H1458" s="12"/>
      <c r="I1458" s="13">
        <v>0</v>
      </c>
      <c r="J1458" s="13">
        <v>0</v>
      </c>
      <c r="K1458" s="14" t="str">
        <f t="shared" si="392"/>
        <v>Twitter for Android</v>
      </c>
      <c r="L1458" s="13">
        <v>469</v>
      </c>
      <c r="M1458" s="13">
        <v>652</v>
      </c>
      <c r="N1458" s="13">
        <v>32</v>
      </c>
      <c r="O1458" s="15"/>
      <c r="P1458" s="6">
        <v>42282.954583333332</v>
      </c>
      <c r="Q1458" s="12"/>
      <c r="R1458" s="21"/>
      <c r="S1458" s="12"/>
      <c r="T1458" s="12"/>
      <c r="U1458" s="10" t="str">
        <f>HYPERLINK("https://pbs.twimg.com/profile_images/732721062186737664/j8ea-EJv.jpg","View")</f>
        <v>View</v>
      </c>
    </row>
    <row r="1459" spans="1:21" ht="61.2">
      <c r="A1459" s="6">
        <v>43418.862789351857</v>
      </c>
      <c r="B1459" s="7" t="str">
        <f>HYPERLINK("https://twitter.com/Vox_Almeria","@Vox_Almeria")</f>
        <v>@Vox_Almeria</v>
      </c>
      <c r="C1459" s="8" t="s">
        <v>137</v>
      </c>
      <c r="D1459" s="9" t="s">
        <v>4726</v>
      </c>
      <c r="E1459" s="10" t="str">
        <f>HYPERLINK("https://twitter.com/Vox_Almeria/status/1062792890940841984","1062792890940841984")</f>
        <v>1062792890940841984</v>
      </c>
      <c r="F1459" s="12"/>
      <c r="G1459" s="11" t="s">
        <v>4727</v>
      </c>
      <c r="H1459" s="12"/>
      <c r="I1459" s="13">
        <v>10</v>
      </c>
      <c r="J1459" s="13">
        <v>29</v>
      </c>
      <c r="K1459" s="14" t="str">
        <f>HYPERLINK("http://twitter.com/download/iphone","Twitter for iPhone")</f>
        <v>Twitter for iPhone</v>
      </c>
      <c r="L1459" s="13">
        <v>2969</v>
      </c>
      <c r="M1459" s="13">
        <v>439</v>
      </c>
      <c r="N1459" s="13">
        <v>30</v>
      </c>
      <c r="O1459" s="15"/>
      <c r="P1459" s="6">
        <v>41707.005243055552</v>
      </c>
      <c r="Q1459" s="16" t="s">
        <v>140</v>
      </c>
      <c r="R1459" s="17" t="s">
        <v>141</v>
      </c>
      <c r="S1459" s="11" t="s">
        <v>142</v>
      </c>
      <c r="T1459" s="12"/>
      <c r="U1459" s="10" t="str">
        <f>HYPERLINK("https://pbs.twimg.com/profile_images/1063398215507222528/qzM6rNZp.jpg","View")</f>
        <v>View</v>
      </c>
    </row>
    <row r="1460" spans="1:21" ht="51">
      <c r="A1460" s="6">
        <v>43418.858252314814</v>
      </c>
      <c r="B1460" s="7" t="str">
        <f>HYPERLINK("https://twitter.com/diariobalear_es","@diariobalear_es")</f>
        <v>@diariobalear_es</v>
      </c>
      <c r="C1460" s="8" t="s">
        <v>672</v>
      </c>
      <c r="D1460" s="9" t="s">
        <v>4732</v>
      </c>
      <c r="E1460" s="10" t="str">
        <f>HYPERLINK("https://twitter.com/diariobalear_es/status/1062791246475915264","1062791246475915264")</f>
        <v>1062791246475915264</v>
      </c>
      <c r="F1460" s="11" t="s">
        <v>4734</v>
      </c>
      <c r="G1460" s="12"/>
      <c r="H1460" s="12"/>
      <c r="I1460" s="13">
        <v>0</v>
      </c>
      <c r="J1460" s="13">
        <v>1</v>
      </c>
      <c r="K1460" s="14" t="str">
        <f>HYPERLINK("http://twitter.com","Twitter Web Client")</f>
        <v>Twitter Web Client</v>
      </c>
      <c r="L1460" s="13">
        <v>3196</v>
      </c>
      <c r="M1460" s="13">
        <v>347</v>
      </c>
      <c r="N1460" s="13">
        <v>71</v>
      </c>
      <c r="O1460" s="15"/>
      <c r="P1460" s="6">
        <v>41694.754687499997</v>
      </c>
      <c r="Q1460" s="16" t="s">
        <v>675</v>
      </c>
      <c r="R1460" s="17" t="s">
        <v>676</v>
      </c>
      <c r="S1460" s="11" t="s">
        <v>677</v>
      </c>
      <c r="T1460" s="12"/>
      <c r="U1460" s="10" t="str">
        <f>HYPERLINK("https://pbs.twimg.com/profile_images/992417277797597184/28OVRjFF.jpg","View")</f>
        <v>View</v>
      </c>
    </row>
    <row r="1461" spans="1:21" ht="40.799999999999997">
      <c r="A1461" s="6">
        <v>43418.856203703705</v>
      </c>
      <c r="B1461" s="7" t="str">
        <f>HYPERLINK("https://twitter.com/tu_matar","@tu_matar")</f>
        <v>@tu_matar</v>
      </c>
      <c r="C1461" s="8" t="s">
        <v>4735</v>
      </c>
      <c r="D1461" s="9" t="s">
        <v>4736</v>
      </c>
      <c r="E1461" s="10" t="str">
        <f>HYPERLINK("https://twitter.com/tu_matar/status/1062790502913843200","1062790502913843200")</f>
        <v>1062790502913843200</v>
      </c>
      <c r="F1461" s="12"/>
      <c r="G1461" s="11" t="s">
        <v>4587</v>
      </c>
      <c r="H1461" s="12"/>
      <c r="I1461" s="13">
        <v>41</v>
      </c>
      <c r="J1461" s="13">
        <v>45</v>
      </c>
      <c r="K1461" s="14" t="str">
        <f t="shared" ref="K1461:K1464" si="393">HYPERLINK("http://twitter.com/download/android","Twitter for Android")</f>
        <v>Twitter for Android</v>
      </c>
      <c r="L1461" s="13">
        <v>652</v>
      </c>
      <c r="M1461" s="13">
        <v>45</v>
      </c>
      <c r="N1461" s="13">
        <v>3</v>
      </c>
      <c r="O1461" s="15"/>
      <c r="P1461" s="6">
        <v>43367.952974537038</v>
      </c>
      <c r="Q1461" s="12"/>
      <c r="R1461" s="17" t="s">
        <v>4738</v>
      </c>
      <c r="S1461" s="11" t="s">
        <v>4739</v>
      </c>
      <c r="T1461" s="12"/>
      <c r="U1461" s="10" t="str">
        <f>HYPERLINK("https://pbs.twimg.com/profile_images/1044329812641370113/Rgv8gcrA.jpg","View")</f>
        <v>View</v>
      </c>
    </row>
    <row r="1462" spans="1:21" ht="30.6">
      <c r="A1462" s="6">
        <v>43418.855520833335</v>
      </c>
      <c r="B1462" s="7" t="str">
        <f>HYPERLINK("https://twitter.com/voxpinatar","@voxpinatar")</f>
        <v>@voxpinatar</v>
      </c>
      <c r="C1462" s="8" t="s">
        <v>4493</v>
      </c>
      <c r="D1462" s="9" t="s">
        <v>4741</v>
      </c>
      <c r="E1462" s="10" t="str">
        <f>HYPERLINK("https://twitter.com/voxpinatar/status/1062790256116817922","1062790256116817922")</f>
        <v>1062790256116817922</v>
      </c>
      <c r="F1462" s="12"/>
      <c r="G1462" s="11" t="s">
        <v>4742</v>
      </c>
      <c r="H1462" s="12"/>
      <c r="I1462" s="13">
        <v>9</v>
      </c>
      <c r="J1462" s="13">
        <v>36</v>
      </c>
      <c r="K1462" s="14" t="str">
        <f t="shared" si="393"/>
        <v>Twitter for Android</v>
      </c>
      <c r="L1462" s="13">
        <v>65</v>
      </c>
      <c r="M1462" s="13">
        <v>43</v>
      </c>
      <c r="N1462" s="13">
        <v>0</v>
      </c>
      <c r="O1462" s="15"/>
      <c r="P1462" s="6">
        <v>43373.796458333338</v>
      </c>
      <c r="Q1462" s="16" t="s">
        <v>4496</v>
      </c>
      <c r="R1462" s="17" t="s">
        <v>4497</v>
      </c>
      <c r="S1462" s="11" t="s">
        <v>187</v>
      </c>
      <c r="T1462" s="12"/>
      <c r="U1462" s="10" t="str">
        <f>HYPERLINK("https://pbs.twimg.com/profile_images/1046477551768678400/gn56zTTr.jpg","View")</f>
        <v>View</v>
      </c>
    </row>
    <row r="1463" spans="1:21" ht="20.399999999999999">
      <c r="A1463" s="6">
        <v>43418.853946759264</v>
      </c>
      <c r="B1463" s="7" t="str">
        <f>HYPERLINK("https://twitter.com/eldiariomurcia","@eldiariomurcia")</f>
        <v>@eldiariomurcia</v>
      </c>
      <c r="C1463" s="8" t="s">
        <v>3819</v>
      </c>
      <c r="D1463" s="9" t="s">
        <v>4743</v>
      </c>
      <c r="E1463" s="10" t="str">
        <f>HYPERLINK("https://twitter.com/eldiariomurcia/status/1062789684991012864","1062789684991012864")</f>
        <v>1062789684991012864</v>
      </c>
      <c r="F1463" s="12"/>
      <c r="G1463" s="11" t="s">
        <v>4492</v>
      </c>
      <c r="H1463" s="12"/>
      <c r="I1463" s="13">
        <v>458</v>
      </c>
      <c r="J1463" s="13">
        <v>873</v>
      </c>
      <c r="K1463" s="14" t="str">
        <f t="shared" si="393"/>
        <v>Twitter for Android</v>
      </c>
      <c r="L1463" s="13">
        <v>6956</v>
      </c>
      <c r="M1463" s="13">
        <v>2166</v>
      </c>
      <c r="N1463" s="13">
        <v>152</v>
      </c>
      <c r="O1463" s="15"/>
      <c r="P1463" s="6">
        <v>41907.596539351856</v>
      </c>
      <c r="Q1463" s="16" t="s">
        <v>3820</v>
      </c>
      <c r="R1463" s="17" t="s">
        <v>3822</v>
      </c>
      <c r="S1463" s="11" t="s">
        <v>3806</v>
      </c>
      <c r="T1463" s="12"/>
      <c r="U1463" s="10" t="str">
        <f>HYPERLINK("https://pbs.twimg.com/profile_images/972423446188699648/DsZx-3Jc.jpg","View")</f>
        <v>View</v>
      </c>
    </row>
    <row r="1464" spans="1:21" ht="112.2">
      <c r="A1464" s="6">
        <v>43418.853333333333</v>
      </c>
      <c r="B1464" s="7" t="str">
        <f>HYPERLINK("https://twitter.com/JubeirC","@JubeirC")</f>
        <v>@JubeirC</v>
      </c>
      <c r="C1464" s="8" t="s">
        <v>1395</v>
      </c>
      <c r="D1464" s="9" t="s">
        <v>4744</v>
      </c>
      <c r="E1464" s="10" t="str">
        <f>HYPERLINK("https://twitter.com/JubeirC/status/1062789465683488768","1062789465683488768")</f>
        <v>1062789465683488768</v>
      </c>
      <c r="F1464" s="11" t="s">
        <v>4745</v>
      </c>
      <c r="G1464" s="12"/>
      <c r="H1464" s="12"/>
      <c r="I1464" s="13">
        <v>0</v>
      </c>
      <c r="J1464" s="13">
        <v>0</v>
      </c>
      <c r="K1464" s="14" t="str">
        <f t="shared" si="393"/>
        <v>Twitter for Android</v>
      </c>
      <c r="L1464" s="13">
        <v>70</v>
      </c>
      <c r="M1464" s="13">
        <v>182</v>
      </c>
      <c r="N1464" s="13">
        <v>0</v>
      </c>
      <c r="O1464" s="15"/>
      <c r="P1464" s="6">
        <v>43418.45893518519</v>
      </c>
      <c r="Q1464" s="16" t="s">
        <v>44</v>
      </c>
      <c r="R1464" s="17" t="s">
        <v>1398</v>
      </c>
      <c r="S1464" s="12"/>
      <c r="T1464" s="12"/>
      <c r="U1464" s="10" t="str">
        <f>HYPERLINK("https://pbs.twimg.com/profile_images/1062652018391769088/3bCwwZzq.jpg","View")</f>
        <v>View</v>
      </c>
    </row>
    <row r="1465" spans="1:21" ht="20.399999999999999">
      <c r="A1465" s="6">
        <v>43418.849247685182</v>
      </c>
      <c r="B1465" s="7" t="str">
        <f>HYPERLINK("https://twitter.com/guzman01fp","@guzman01fp")</f>
        <v>@guzman01fp</v>
      </c>
      <c r="C1465" s="8" t="s">
        <v>4746</v>
      </c>
      <c r="D1465" s="9" t="s">
        <v>4747</v>
      </c>
      <c r="E1465" s="10" t="str">
        <f>HYPERLINK("https://twitter.com/guzman01fp/status/1062787984939016192","1062787984939016192")</f>
        <v>1062787984939016192</v>
      </c>
      <c r="F1465" s="12"/>
      <c r="G1465" s="11" t="s">
        <v>4748</v>
      </c>
      <c r="H1465" s="12"/>
      <c r="I1465" s="13">
        <v>0</v>
      </c>
      <c r="J1465" s="13">
        <v>3</v>
      </c>
      <c r="K1465" s="14" t="str">
        <f>HYPERLINK("http://twitter.com/download/iphone","Twitter for iPhone")</f>
        <v>Twitter for iPhone</v>
      </c>
      <c r="L1465" s="13">
        <v>22</v>
      </c>
      <c r="M1465" s="13">
        <v>88</v>
      </c>
      <c r="N1465" s="13">
        <v>0</v>
      </c>
      <c r="O1465" s="15"/>
      <c r="P1465" s="6">
        <v>43135.640219907407</v>
      </c>
      <c r="Q1465" s="16" t="s">
        <v>4749</v>
      </c>
      <c r="R1465" s="17" t="s">
        <v>4750</v>
      </c>
      <c r="S1465" s="12"/>
      <c r="T1465" s="12"/>
      <c r="U1465" s="10" t="str">
        <f>HYPERLINK("https://pbs.twimg.com/profile_images/1046829834654093315/UC-6B2t-.jpg","View")</f>
        <v>View</v>
      </c>
    </row>
    <row r="1466" spans="1:21" ht="30.6">
      <c r="A1466" s="6">
        <v>43418.848402777774</v>
      </c>
      <c r="B1466" s="7" t="str">
        <f>HYPERLINK("https://twitter.com/BarBatanero","@BarBatanero")</f>
        <v>@BarBatanero</v>
      </c>
      <c r="C1466" s="8" t="s">
        <v>4751</v>
      </c>
      <c r="D1466" s="9" t="s">
        <v>4752</v>
      </c>
      <c r="E1466" s="10" t="str">
        <f>HYPERLINK("https://twitter.com/BarBatanero/status/1062787678163427328","1062787678163427328")</f>
        <v>1062787678163427328</v>
      </c>
      <c r="F1466" s="12"/>
      <c r="G1466" s="11" t="s">
        <v>4753</v>
      </c>
      <c r="H1466" s="12"/>
      <c r="I1466" s="13">
        <v>0</v>
      </c>
      <c r="J1466" s="13">
        <v>0</v>
      </c>
      <c r="K1466" s="14" t="str">
        <f>HYPERLINK("http://twitter.com/download/android","Twitter for Android")</f>
        <v>Twitter for Android</v>
      </c>
      <c r="L1466" s="13">
        <v>6</v>
      </c>
      <c r="M1466" s="13">
        <v>21</v>
      </c>
      <c r="N1466" s="13">
        <v>0</v>
      </c>
      <c r="O1466" s="15"/>
      <c r="P1466" s="6">
        <v>42119.868252314816</v>
      </c>
      <c r="Q1466" s="12"/>
      <c r="R1466" s="21"/>
      <c r="S1466" s="12"/>
      <c r="T1466" s="12"/>
      <c r="U1466" s="10" t="str">
        <f>HYPERLINK("https://pbs.twimg.com/profile_images/622087532310851584/rboK6Ne7.jpg","View")</f>
        <v>View</v>
      </c>
    </row>
    <row r="1467" spans="1:21" ht="51">
      <c r="A1467" s="6">
        <v>43418.844675925924</v>
      </c>
      <c r="B1467" s="7" t="str">
        <f>HYPERLINK("https://twitter.com/AndresSanto_","@AndresSanto_")</f>
        <v>@AndresSanto_</v>
      </c>
      <c r="C1467" s="8" t="s">
        <v>398</v>
      </c>
      <c r="D1467" s="9" t="s">
        <v>4754</v>
      </c>
      <c r="E1467" s="10" t="str">
        <f>HYPERLINK("https://twitter.com/AndresSanto_/status/1062786328037900289","1062786328037900289")</f>
        <v>1062786328037900289</v>
      </c>
      <c r="F1467" s="12"/>
      <c r="G1467" s="12"/>
      <c r="H1467" s="12"/>
      <c r="I1467" s="13">
        <v>1</v>
      </c>
      <c r="J1467" s="13">
        <v>2</v>
      </c>
      <c r="K1467" s="14" t="str">
        <f>HYPERLINK("http://twitter.com","Twitter Web Client")</f>
        <v>Twitter Web Client</v>
      </c>
      <c r="L1467" s="13">
        <v>2303</v>
      </c>
      <c r="M1467" s="13">
        <v>1820</v>
      </c>
      <c r="N1467" s="13">
        <v>68</v>
      </c>
      <c r="O1467" s="15"/>
      <c r="P1467" s="6">
        <v>40773.75135416667</v>
      </c>
      <c r="Q1467" s="16" t="s">
        <v>111</v>
      </c>
      <c r="R1467" s="17" t="s">
        <v>401</v>
      </c>
      <c r="S1467" s="12"/>
      <c r="T1467" s="12"/>
      <c r="U1467" s="10" t="str">
        <f>HYPERLINK("https://pbs.twimg.com/profile_images/1062028217861709824/wyaW6mQk.jpg","View")</f>
        <v>View</v>
      </c>
    </row>
    <row r="1468" spans="1:21" ht="102">
      <c r="A1468" s="6">
        <v>43418.840370370366</v>
      </c>
      <c r="B1468" s="7" t="str">
        <f>HYPERLINK("https://twitter.com/Fernand93775634","@Fernand93775634")</f>
        <v>@Fernand93775634</v>
      </c>
      <c r="C1468" s="8" t="s">
        <v>409</v>
      </c>
      <c r="D1468" s="9" t="s">
        <v>4755</v>
      </c>
      <c r="E1468" s="10" t="str">
        <f>HYPERLINK("https://twitter.com/Fernand93775634/status/1062784764275539970","1062784764275539970")</f>
        <v>1062784764275539970</v>
      </c>
      <c r="F1468" s="11" t="s">
        <v>4557</v>
      </c>
      <c r="G1468" s="11" t="s">
        <v>4560</v>
      </c>
      <c r="H1468" s="12"/>
      <c r="I1468" s="13">
        <v>1</v>
      </c>
      <c r="J1468" s="13">
        <v>1</v>
      </c>
      <c r="K1468" s="14" t="str">
        <f t="shared" ref="K1468:K1470" si="394">HYPERLINK("http://twitter.com/download/android","Twitter for Android")</f>
        <v>Twitter for Android</v>
      </c>
      <c r="L1468" s="13">
        <v>773</v>
      </c>
      <c r="M1468" s="13">
        <v>1138</v>
      </c>
      <c r="N1468" s="13">
        <v>3</v>
      </c>
      <c r="O1468" s="15"/>
      <c r="P1468" s="6">
        <v>42999.692280092597</v>
      </c>
      <c r="Q1468" s="16" t="s">
        <v>66</v>
      </c>
      <c r="R1468" s="21"/>
      <c r="S1468" s="12"/>
      <c r="T1468" s="12"/>
      <c r="U1468" s="10" t="str">
        <f>HYPERLINK("https://pbs.twimg.com/profile_images/1005223861103874050/zFTg1Ik1.jpg","View")</f>
        <v>View</v>
      </c>
    </row>
    <row r="1469" spans="1:21" ht="20.399999999999999">
      <c r="A1469" s="6">
        <v>43418.839641203704</v>
      </c>
      <c r="B1469" s="7" t="str">
        <f>HYPERLINK("https://twitter.com/voxpinatar","@voxpinatar")</f>
        <v>@voxpinatar</v>
      </c>
      <c r="C1469" s="8" t="s">
        <v>4493</v>
      </c>
      <c r="D1469" s="9" t="s">
        <v>4756</v>
      </c>
      <c r="E1469" s="10" t="str">
        <f>HYPERLINK("https://twitter.com/voxpinatar/status/1062784501649231872","1062784501649231872")</f>
        <v>1062784501649231872</v>
      </c>
      <c r="F1469" s="12"/>
      <c r="G1469" s="11" t="s">
        <v>4758</v>
      </c>
      <c r="H1469" s="12"/>
      <c r="I1469" s="13">
        <v>0</v>
      </c>
      <c r="J1469" s="13">
        <v>5</v>
      </c>
      <c r="K1469" s="14" t="str">
        <f t="shared" si="394"/>
        <v>Twitter for Android</v>
      </c>
      <c r="L1469" s="13">
        <v>65</v>
      </c>
      <c r="M1469" s="13">
        <v>43</v>
      </c>
      <c r="N1469" s="13">
        <v>0</v>
      </c>
      <c r="O1469" s="15"/>
      <c r="P1469" s="6">
        <v>43373.796458333338</v>
      </c>
      <c r="Q1469" s="16" t="s">
        <v>4496</v>
      </c>
      <c r="R1469" s="17" t="s">
        <v>4497</v>
      </c>
      <c r="S1469" s="11" t="s">
        <v>187</v>
      </c>
      <c r="T1469" s="12"/>
      <c r="U1469" s="10" t="str">
        <f>HYPERLINK("https://pbs.twimg.com/profile_images/1046477551768678400/gn56zTTr.jpg","View")</f>
        <v>View</v>
      </c>
    </row>
    <row r="1470" spans="1:21" ht="30.6">
      <c r="A1470" s="6">
        <v>43418.83793981481</v>
      </c>
      <c r="B1470" s="7" t="str">
        <f>HYPERLINK("https://twitter.com/matadragones2","@matadragones2")</f>
        <v>@matadragones2</v>
      </c>
      <c r="C1470" s="8" t="s">
        <v>4763</v>
      </c>
      <c r="D1470" s="9" t="s">
        <v>4764</v>
      </c>
      <c r="E1470" s="10" t="str">
        <f>HYPERLINK("https://twitter.com/matadragones2/status/1062783884704862210","1062783884704862210")</f>
        <v>1062783884704862210</v>
      </c>
      <c r="F1470" s="12"/>
      <c r="G1470" s="11" t="s">
        <v>4765</v>
      </c>
      <c r="H1470" s="12"/>
      <c r="I1470" s="13">
        <v>0</v>
      </c>
      <c r="J1470" s="13">
        <v>0</v>
      </c>
      <c r="K1470" s="14" t="str">
        <f t="shared" si="394"/>
        <v>Twitter for Android</v>
      </c>
      <c r="L1470" s="13">
        <v>2</v>
      </c>
      <c r="M1470" s="13">
        <v>10</v>
      </c>
      <c r="N1470" s="13">
        <v>0</v>
      </c>
      <c r="O1470" s="15"/>
      <c r="P1470" s="6">
        <v>43416.549004629633</v>
      </c>
      <c r="Q1470" s="12"/>
      <c r="R1470" s="17" t="s">
        <v>4766</v>
      </c>
      <c r="S1470" s="12"/>
      <c r="T1470" s="12"/>
      <c r="U1470" s="10" t="str">
        <f>HYPERLINK("https://pbs.twimg.com/profile_images/1061958689819709440/ZoqFOa61.jpg","View")</f>
        <v>View</v>
      </c>
    </row>
    <row r="1471" spans="1:21" ht="30.6">
      <c r="A1471" s="6">
        <v>43418.837025462963</v>
      </c>
      <c r="B1471" s="7" t="str">
        <f>HYPERLINK("https://twitter.com/alicante_vox","@alicante_vox")</f>
        <v>@alicante_vox</v>
      </c>
      <c r="C1471" s="8" t="s">
        <v>4767</v>
      </c>
      <c r="D1471" s="9" t="s">
        <v>4768</v>
      </c>
      <c r="E1471" s="10" t="str">
        <f>HYPERLINK("https://twitter.com/alicante_vox/status/1062783554621456385","1062783554621456385")</f>
        <v>1062783554621456385</v>
      </c>
      <c r="F1471" s="11" t="s">
        <v>4769</v>
      </c>
      <c r="G1471" s="12"/>
      <c r="H1471" s="12"/>
      <c r="I1471" s="13">
        <v>278</v>
      </c>
      <c r="J1471" s="13">
        <v>503</v>
      </c>
      <c r="K1471" s="14" t="str">
        <f>HYPERLINK("http://twitter.com/download/iphone","Twitter for iPhone")</f>
        <v>Twitter for iPhone</v>
      </c>
      <c r="L1471" s="13">
        <v>646</v>
      </c>
      <c r="M1471" s="13">
        <v>319</v>
      </c>
      <c r="N1471" s="13">
        <v>4</v>
      </c>
      <c r="O1471" s="15"/>
      <c r="P1471" s="6">
        <v>43294.048391203702</v>
      </c>
      <c r="Q1471" s="16" t="s">
        <v>4770</v>
      </c>
      <c r="R1471" s="17" t="s">
        <v>4771</v>
      </c>
      <c r="S1471" s="11" t="s">
        <v>2045</v>
      </c>
      <c r="T1471" s="12"/>
      <c r="U1471" s="10" t="str">
        <f>HYPERLINK("https://pbs.twimg.com/profile_images/1037103891920375808/ocS-dSRg.jpg","View")</f>
        <v>View</v>
      </c>
    </row>
    <row r="1472" spans="1:21" ht="51">
      <c r="A1472" s="6">
        <v>43418.834722222222</v>
      </c>
      <c r="B1472" s="7" t="str">
        <f>HYPERLINK("https://twitter.com/bitMomentum","@bitMomentum")</f>
        <v>@bitMomentum</v>
      </c>
      <c r="C1472" s="8" t="s">
        <v>368</v>
      </c>
      <c r="D1472" s="9" t="s">
        <v>4772</v>
      </c>
      <c r="E1472" s="10" t="str">
        <f>HYPERLINK("https://twitter.com/bitMomentum/status/1062782717983633408","1062782717983633408")</f>
        <v>1062782717983633408</v>
      </c>
      <c r="F1472" s="12"/>
      <c r="G1472" s="12"/>
      <c r="H1472" s="12"/>
      <c r="I1472" s="13">
        <v>0</v>
      </c>
      <c r="J1472" s="13">
        <v>1</v>
      </c>
      <c r="K1472" s="14" t="str">
        <f>HYPERLINK("http://www.bitmomentum.com","bitMomentum Bot")</f>
        <v>bitMomentum Bot</v>
      </c>
      <c r="L1472" s="13">
        <v>10132</v>
      </c>
      <c r="M1472" s="13">
        <v>1060</v>
      </c>
      <c r="N1472" s="13">
        <v>267</v>
      </c>
      <c r="O1472" s="15"/>
      <c r="P1472" s="6">
        <v>41608.667511574073</v>
      </c>
      <c r="Q1472" s="12"/>
      <c r="R1472" s="17" t="s">
        <v>371</v>
      </c>
      <c r="S1472" s="11" t="s">
        <v>372</v>
      </c>
      <c r="T1472" s="12"/>
      <c r="U1472" s="10" t="str">
        <f>HYPERLINK("https://pbs.twimg.com/profile_images/378800000862185241/20ij2H3u.png","View")</f>
        <v>View</v>
      </c>
    </row>
    <row r="1473" spans="1:21" ht="61.2">
      <c r="A1473" s="6">
        <v>43418.834282407406</v>
      </c>
      <c r="B1473" s="7" t="str">
        <f>HYPERLINK("https://twitter.com/comovayaveras","@comovayaveras")</f>
        <v>@comovayaveras</v>
      </c>
      <c r="C1473" s="8" t="s">
        <v>4773</v>
      </c>
      <c r="D1473" s="9" t="s">
        <v>4774</v>
      </c>
      <c r="E1473" s="10" t="str">
        <f>HYPERLINK("https://twitter.com/comovayaveras/status/1062782558721728512","1062782558721728512")</f>
        <v>1062782558721728512</v>
      </c>
      <c r="F1473" s="12"/>
      <c r="G1473" s="12"/>
      <c r="H1473" s="12"/>
      <c r="I1473" s="13">
        <v>0</v>
      </c>
      <c r="J1473" s="13">
        <v>4</v>
      </c>
      <c r="K1473" s="14" t="str">
        <f>HYPERLINK("http://twitter.com/download/iphone","Twitter for iPhone")</f>
        <v>Twitter for iPhone</v>
      </c>
      <c r="L1473" s="13">
        <v>224</v>
      </c>
      <c r="M1473" s="13">
        <v>114</v>
      </c>
      <c r="N1473" s="13">
        <v>4</v>
      </c>
      <c r="O1473" s="15"/>
      <c r="P1473" s="6">
        <v>40653.715162037035</v>
      </c>
      <c r="Q1473" s="16" t="s">
        <v>4775</v>
      </c>
      <c r="R1473" s="17" t="s">
        <v>4776</v>
      </c>
      <c r="S1473" s="12"/>
      <c r="T1473" s="12"/>
      <c r="U1473" s="10" t="str">
        <f>HYPERLINK("https://pbs.twimg.com/profile_images/1062369296624562178/d3l2T_pQ.jpg","View")</f>
        <v>View</v>
      </c>
    </row>
    <row r="1474" spans="1:21" ht="51">
      <c r="A1474" s="6">
        <v>43418.834027777775</v>
      </c>
      <c r="B1474" s="7" t="str">
        <f>HYPERLINK("https://twitter.com/bitMomentum","@bitMomentum")</f>
        <v>@bitMomentum</v>
      </c>
      <c r="C1474" s="8" t="s">
        <v>368</v>
      </c>
      <c r="D1474" s="9" t="s">
        <v>4777</v>
      </c>
      <c r="E1474" s="10" t="str">
        <f>HYPERLINK("https://twitter.com/bitMomentum/status/1062782466396692480","1062782466396692480")</f>
        <v>1062782466396692480</v>
      </c>
      <c r="F1474" s="12"/>
      <c r="G1474" s="12"/>
      <c r="H1474" s="12"/>
      <c r="I1474" s="13">
        <v>0</v>
      </c>
      <c r="J1474" s="13">
        <v>0</v>
      </c>
      <c r="K1474" s="14" t="str">
        <f>HYPERLINK("http://www.bitmomentum.com","bitMomentum Bot")</f>
        <v>bitMomentum Bot</v>
      </c>
      <c r="L1474" s="13">
        <v>10132</v>
      </c>
      <c r="M1474" s="13">
        <v>1060</v>
      </c>
      <c r="N1474" s="13">
        <v>267</v>
      </c>
      <c r="O1474" s="15"/>
      <c r="P1474" s="6">
        <v>41608.667511574073</v>
      </c>
      <c r="Q1474" s="12"/>
      <c r="R1474" s="17" t="s">
        <v>371</v>
      </c>
      <c r="S1474" s="11" t="s">
        <v>372</v>
      </c>
      <c r="T1474" s="12"/>
      <c r="U1474" s="10" t="str">
        <f>HYPERLINK("https://pbs.twimg.com/profile_images/378800000862185241/20ij2H3u.png","View")</f>
        <v>View</v>
      </c>
    </row>
    <row r="1475" spans="1:21" ht="30.6">
      <c r="A1475" s="6">
        <v>43418.83284722222</v>
      </c>
      <c r="B1475" s="7" t="str">
        <f>HYPERLINK("https://twitter.com/planeterito","@planeterito")</f>
        <v>@planeterito</v>
      </c>
      <c r="C1475" s="8" t="s">
        <v>4778</v>
      </c>
      <c r="D1475" s="9" t="s">
        <v>4779</v>
      </c>
      <c r="E1475" s="10" t="str">
        <f>HYPERLINK("https://twitter.com/planeterito/status/1062782038934282240","1062782038934282240")</f>
        <v>1062782038934282240</v>
      </c>
      <c r="F1475" s="12"/>
      <c r="G1475" s="11" t="s">
        <v>3533</v>
      </c>
      <c r="H1475" s="12"/>
      <c r="I1475" s="13">
        <v>3398</v>
      </c>
      <c r="J1475" s="13">
        <v>2879</v>
      </c>
      <c r="K1475" s="14" t="str">
        <f t="shared" ref="K1475:K1476" si="395">HYPERLINK("http://twitter.com/download/android","Twitter for Android")</f>
        <v>Twitter for Android</v>
      </c>
      <c r="L1475" s="13">
        <v>2093</v>
      </c>
      <c r="M1475" s="13">
        <v>870</v>
      </c>
      <c r="N1475" s="13">
        <v>21</v>
      </c>
      <c r="O1475" s="15"/>
      <c r="P1475" s="6">
        <v>41177.041481481479</v>
      </c>
      <c r="Q1475" s="16" t="s">
        <v>4780</v>
      </c>
      <c r="R1475" s="17" t="s">
        <v>4781</v>
      </c>
      <c r="S1475" s="12"/>
      <c r="T1475" s="12"/>
      <c r="U1475" s="10" t="str">
        <f>HYPERLINK("https://pbs.twimg.com/profile_images/955188781161897985/RGb9PXwf.jpg","View")</f>
        <v>View</v>
      </c>
    </row>
    <row r="1476" spans="1:21" ht="40.799999999999997">
      <c r="A1476" s="6">
        <v>43418.832129629634</v>
      </c>
      <c r="B1476" s="7" t="str">
        <f>HYPERLINK("https://twitter.com/Anacatalana69","@Anacatalana69")</f>
        <v>@Anacatalana69</v>
      </c>
      <c r="C1476" s="8" t="s">
        <v>4782</v>
      </c>
      <c r="D1476" s="9" t="s">
        <v>4783</v>
      </c>
      <c r="E1476" s="10" t="str">
        <f>HYPERLINK("https://twitter.com/Anacatalana69/status/1062781780623798273","1062781780623798273")</f>
        <v>1062781780623798273</v>
      </c>
      <c r="F1476" s="12"/>
      <c r="G1476" s="11" t="s">
        <v>4784</v>
      </c>
      <c r="H1476" s="12"/>
      <c r="I1476" s="13">
        <v>1</v>
      </c>
      <c r="J1476" s="13">
        <v>0</v>
      </c>
      <c r="K1476" s="14" t="str">
        <f t="shared" si="395"/>
        <v>Twitter for Android</v>
      </c>
      <c r="L1476" s="13">
        <v>458</v>
      </c>
      <c r="M1476" s="13">
        <v>1250</v>
      </c>
      <c r="N1476" s="13">
        <v>0</v>
      </c>
      <c r="O1476" s="15"/>
      <c r="P1476" s="6">
        <v>43000.346168981487</v>
      </c>
      <c r="Q1476" s="16" t="s">
        <v>527</v>
      </c>
      <c r="R1476" s="17" t="s">
        <v>4785</v>
      </c>
      <c r="S1476" s="12"/>
      <c r="T1476" s="12"/>
      <c r="U1476" s="10" t="str">
        <f>HYPERLINK("https://pbs.twimg.com/profile_images/911117862529531904/K3J6iuoT.jpg","View")</f>
        <v>View</v>
      </c>
    </row>
    <row r="1477" spans="1:21" ht="40.799999999999997">
      <c r="A1477" s="6">
        <v>43418.83211805555</v>
      </c>
      <c r="B1477" s="7" t="str">
        <f>HYPERLINK("https://twitter.com/10alvarog","@10alvarog")</f>
        <v>@10alvarog</v>
      </c>
      <c r="C1477" s="8" t="s">
        <v>81</v>
      </c>
      <c r="D1477" s="9" t="s">
        <v>5450</v>
      </c>
      <c r="E1477" s="10" t="str">
        <f>HYPERLINK("https://twitter.com/10alvarog/status/1062781776362397696","1062781776362397696")</f>
        <v>1062781776362397696</v>
      </c>
      <c r="F1477" s="12"/>
      <c r="G1477" s="12"/>
      <c r="H1477" s="12"/>
      <c r="I1477" s="13">
        <v>14</v>
      </c>
      <c r="J1477" s="13">
        <v>36</v>
      </c>
      <c r="K1477" s="14" t="str">
        <f>HYPERLINK("http://twitter.com","Twitter Web Client")</f>
        <v>Twitter Web Client</v>
      </c>
      <c r="L1477" s="13">
        <v>781</v>
      </c>
      <c r="M1477" s="13">
        <v>350</v>
      </c>
      <c r="N1477" s="13">
        <v>9</v>
      </c>
      <c r="O1477" s="15"/>
      <c r="P1477" s="6">
        <v>41871.441712962966</v>
      </c>
      <c r="Q1477" s="16" t="s">
        <v>84</v>
      </c>
      <c r="R1477" s="17" t="s">
        <v>85</v>
      </c>
      <c r="S1477" s="12"/>
      <c r="T1477" s="12"/>
      <c r="U1477" s="10" t="str">
        <f>HYPERLINK("https://pbs.twimg.com/profile_images/1019382487917694977/V3bG3RfI.jpg","View")</f>
        <v>View</v>
      </c>
    </row>
    <row r="1478" spans="1:21" ht="51">
      <c r="A1478" s="6">
        <v>43418.829953703702</v>
      </c>
      <c r="B1478" s="7" t="str">
        <f>HYPERLINK("https://twitter.com/Vox_Fuengirola","@Vox_Fuengirola")</f>
        <v>@Vox_Fuengirola</v>
      </c>
      <c r="C1478" s="8" t="s">
        <v>4786</v>
      </c>
      <c r="D1478" s="9" t="s">
        <v>4787</v>
      </c>
      <c r="E1478" s="10" t="str">
        <f>HYPERLINK("https://twitter.com/Vox_Fuengirola/status/1062780992262410241","1062780992262410241")</f>
        <v>1062780992262410241</v>
      </c>
      <c r="F1478" s="12"/>
      <c r="G1478" s="11" t="s">
        <v>4788</v>
      </c>
      <c r="H1478" s="12"/>
      <c r="I1478" s="13">
        <v>23</v>
      </c>
      <c r="J1478" s="13">
        <v>23</v>
      </c>
      <c r="K1478" s="14" t="str">
        <f t="shared" ref="K1478:K1480" si="396">HYPERLINK("http://twitter.com/download/android","Twitter for Android")</f>
        <v>Twitter for Android</v>
      </c>
      <c r="L1478" s="13">
        <v>2038</v>
      </c>
      <c r="M1478" s="13">
        <v>2646</v>
      </c>
      <c r="N1478" s="13">
        <v>8</v>
      </c>
      <c r="O1478" s="15"/>
      <c r="P1478" s="6">
        <v>41948.8825</v>
      </c>
      <c r="Q1478" s="16" t="s">
        <v>4789</v>
      </c>
      <c r="R1478" s="17" t="s">
        <v>4790</v>
      </c>
      <c r="S1478" s="11" t="s">
        <v>187</v>
      </c>
      <c r="T1478" s="12"/>
      <c r="U1478" s="10" t="str">
        <f>HYPERLINK("https://pbs.twimg.com/profile_images/888830450722103298/m2nzV-tZ.jpg","View")</f>
        <v>View</v>
      </c>
    </row>
    <row r="1479" spans="1:21" ht="30.6">
      <c r="A1479" s="6">
        <v>43418.826851851853</v>
      </c>
      <c r="B1479" s="7" t="str">
        <f>HYPERLINK("https://twitter.com/albertico131313","@albertico131313")</f>
        <v>@albertico131313</v>
      </c>
      <c r="C1479" s="8" t="s">
        <v>4333</v>
      </c>
      <c r="D1479" s="9" t="s">
        <v>4334</v>
      </c>
      <c r="E1479" s="10" t="str">
        <f>HYPERLINK("https://twitter.com/albertico131313/status/1062779867937280000","1062779867937280000")</f>
        <v>1062779867937280000</v>
      </c>
      <c r="F1479" s="12"/>
      <c r="G1479" s="11" t="s">
        <v>4338</v>
      </c>
      <c r="H1479" s="12"/>
      <c r="I1479" s="13">
        <v>0</v>
      </c>
      <c r="J1479" s="13">
        <v>1</v>
      </c>
      <c r="K1479" s="14" t="str">
        <f t="shared" si="396"/>
        <v>Twitter for Android</v>
      </c>
      <c r="L1479" s="13">
        <v>72</v>
      </c>
      <c r="M1479" s="13">
        <v>177</v>
      </c>
      <c r="N1479" s="13">
        <v>0</v>
      </c>
      <c r="O1479" s="15"/>
      <c r="P1479" s="6">
        <v>40826.564328703702</v>
      </c>
      <c r="Q1479" s="16" t="s">
        <v>66</v>
      </c>
      <c r="R1479" s="17" t="s">
        <v>4340</v>
      </c>
      <c r="S1479" s="12"/>
      <c r="T1479" s="12"/>
      <c r="U1479" s="10" t="str">
        <f>HYPERLINK("https://pbs.twimg.com/profile_images/1001625954890977280/UFooSNeN.jpg","View")</f>
        <v>View</v>
      </c>
    </row>
    <row r="1480" spans="1:21" ht="30.6">
      <c r="A1480" s="6">
        <v>43418.825567129628</v>
      </c>
      <c r="B1480" s="7" t="str">
        <f>HYPERLINK("https://twitter.com/Walter_White72","@Walter_White72")</f>
        <v>@Walter_White72</v>
      </c>
      <c r="C1480" s="8" t="s">
        <v>4791</v>
      </c>
      <c r="D1480" s="9" t="s">
        <v>4792</v>
      </c>
      <c r="E1480" s="10" t="str">
        <f>HYPERLINK("https://twitter.com/Walter_White72/status/1062779401086078983","1062779401086078983")</f>
        <v>1062779401086078983</v>
      </c>
      <c r="F1480" s="11" t="s">
        <v>1209</v>
      </c>
      <c r="G1480" s="12"/>
      <c r="H1480" s="12"/>
      <c r="I1480" s="13">
        <v>3</v>
      </c>
      <c r="J1480" s="13">
        <v>2</v>
      </c>
      <c r="K1480" s="14" t="str">
        <f t="shared" si="396"/>
        <v>Twitter for Android</v>
      </c>
      <c r="L1480" s="13">
        <v>472</v>
      </c>
      <c r="M1480" s="13">
        <v>642</v>
      </c>
      <c r="N1480" s="13">
        <v>10</v>
      </c>
      <c r="O1480" s="15"/>
      <c r="P1480" s="6">
        <v>41319.55541666667</v>
      </c>
      <c r="Q1480" s="16" t="s">
        <v>188</v>
      </c>
      <c r="R1480" s="17" t="s">
        <v>4793</v>
      </c>
      <c r="S1480" s="12"/>
      <c r="T1480" s="12"/>
      <c r="U1480" s="10" t="str">
        <f>HYPERLINK("https://pbs.twimg.com/profile_images/378800000465300511/ccd176889cc45002722f3a88cca27bc9.jpeg","View")</f>
        <v>View</v>
      </c>
    </row>
    <row r="1481" spans="1:21" ht="51">
      <c r="A1481" s="6">
        <v>43418.823506944449</v>
      </c>
      <c r="B1481" s="7" t="str">
        <f>HYPERLINK("https://twitter.com/diariobalear_es","@diariobalear_es")</f>
        <v>@diariobalear_es</v>
      </c>
      <c r="C1481" s="8" t="s">
        <v>672</v>
      </c>
      <c r="D1481" s="9" t="s">
        <v>4794</v>
      </c>
      <c r="E1481" s="10" t="str">
        <f>HYPERLINK("https://twitter.com/diariobalear_es/status/1062778653526892545","1062778653526892545")</f>
        <v>1062778653526892545</v>
      </c>
      <c r="F1481" s="11" t="s">
        <v>4795</v>
      </c>
      <c r="G1481" s="12"/>
      <c r="H1481" s="12"/>
      <c r="I1481" s="13">
        <v>5</v>
      </c>
      <c r="J1481" s="13">
        <v>5</v>
      </c>
      <c r="K1481" s="14" t="str">
        <f>HYPERLINK("http://twitter.com","Twitter Web Client")</f>
        <v>Twitter Web Client</v>
      </c>
      <c r="L1481" s="13">
        <v>3196</v>
      </c>
      <c r="M1481" s="13">
        <v>347</v>
      </c>
      <c r="N1481" s="13">
        <v>71</v>
      </c>
      <c r="O1481" s="15"/>
      <c r="P1481" s="6">
        <v>41694.754687499997</v>
      </c>
      <c r="Q1481" s="16" t="s">
        <v>675</v>
      </c>
      <c r="R1481" s="17" t="s">
        <v>676</v>
      </c>
      <c r="S1481" s="11" t="s">
        <v>677</v>
      </c>
      <c r="T1481" s="12"/>
      <c r="U1481" s="10" t="str">
        <f>HYPERLINK("https://pbs.twimg.com/profile_images/992417277797597184/28OVRjFF.jpg","View")</f>
        <v>View</v>
      </c>
    </row>
    <row r="1482" spans="1:21" ht="71.400000000000006">
      <c r="A1482" s="6">
        <v>43418.82304398148</v>
      </c>
      <c r="B1482" s="7" t="str">
        <f>HYPERLINK("https://twitter.com/lunadebenidorm","@lunadebenidorm")</f>
        <v>@lunadebenidorm</v>
      </c>
      <c r="C1482" s="8" t="s">
        <v>106</v>
      </c>
      <c r="D1482" s="9" t="s">
        <v>4798</v>
      </c>
      <c r="E1482" s="10" t="str">
        <f>HYPERLINK("https://twitter.com/lunadebenidorm/status/1062778486362923008","1062778486362923008")</f>
        <v>1062778486362923008</v>
      </c>
      <c r="F1482" s="11" t="s">
        <v>4799</v>
      </c>
      <c r="G1482" s="12"/>
      <c r="H1482" s="12"/>
      <c r="I1482" s="13">
        <v>1</v>
      </c>
      <c r="J1482" s="13">
        <v>0</v>
      </c>
      <c r="K1482" s="14" t="str">
        <f t="shared" ref="K1482:K1483" si="397">HYPERLINK("http://twitter.com/download/android","Twitter for Android")</f>
        <v>Twitter for Android</v>
      </c>
      <c r="L1482" s="13">
        <v>3991</v>
      </c>
      <c r="M1482" s="13">
        <v>3978</v>
      </c>
      <c r="N1482" s="13">
        <v>79</v>
      </c>
      <c r="O1482" s="15"/>
      <c r="P1482" s="6">
        <v>41461.81186342593</v>
      </c>
      <c r="Q1482" s="12"/>
      <c r="R1482" s="17" t="s">
        <v>108</v>
      </c>
      <c r="S1482" s="12"/>
      <c r="T1482" s="12"/>
      <c r="U1482" s="10" t="str">
        <f>HYPERLINK("https://pbs.twimg.com/profile_images/1061229593758257153/rePCQt08.jpg","View")</f>
        <v>View</v>
      </c>
    </row>
    <row r="1483" spans="1:21" ht="30.6">
      <c r="A1483" s="6">
        <v>43418.823009259257</v>
      </c>
      <c r="B1483" s="7" t="str">
        <f>HYPERLINK("https://twitter.com/voxpinatar","@voxpinatar")</f>
        <v>@voxpinatar</v>
      </c>
      <c r="C1483" s="8" t="s">
        <v>4493</v>
      </c>
      <c r="D1483" s="9" t="s">
        <v>4801</v>
      </c>
      <c r="E1483" s="10" t="str">
        <f>HYPERLINK("https://twitter.com/voxpinatar/status/1062778476296654849","1062778476296654849")</f>
        <v>1062778476296654849</v>
      </c>
      <c r="F1483" s="12"/>
      <c r="G1483" s="11" t="s">
        <v>4802</v>
      </c>
      <c r="H1483" s="12"/>
      <c r="I1483" s="13">
        <v>3</v>
      </c>
      <c r="J1483" s="13">
        <v>13</v>
      </c>
      <c r="K1483" s="14" t="str">
        <f t="shared" si="397"/>
        <v>Twitter for Android</v>
      </c>
      <c r="L1483" s="13">
        <v>65</v>
      </c>
      <c r="M1483" s="13">
        <v>43</v>
      </c>
      <c r="N1483" s="13">
        <v>0</v>
      </c>
      <c r="O1483" s="15"/>
      <c r="P1483" s="6">
        <v>43373.796458333338</v>
      </c>
      <c r="Q1483" s="16" t="s">
        <v>4496</v>
      </c>
      <c r="R1483" s="17" t="s">
        <v>4497</v>
      </c>
      <c r="S1483" s="11" t="s">
        <v>187</v>
      </c>
      <c r="T1483" s="12"/>
      <c r="U1483" s="10" t="str">
        <f>HYPERLINK("https://pbs.twimg.com/profile_images/1046477551768678400/gn56zTTr.jpg","View")</f>
        <v>View</v>
      </c>
    </row>
    <row r="1484" spans="1:21" ht="51">
      <c r="A1484" s="6">
        <v>43418.818449074075</v>
      </c>
      <c r="B1484" s="7" t="str">
        <f>HYPERLINK("https://twitter.com/Stopfalsasdenun","@Stopfalsasdenun")</f>
        <v>@Stopfalsasdenun</v>
      </c>
      <c r="C1484" s="8" t="s">
        <v>4803</v>
      </c>
      <c r="D1484" s="9" t="s">
        <v>4804</v>
      </c>
      <c r="E1484" s="10" t="str">
        <f>HYPERLINK("https://twitter.com/Stopfalsasdenun/status/1062776820695744512","1062776820695744512")</f>
        <v>1062776820695744512</v>
      </c>
      <c r="F1484" s="12"/>
      <c r="G1484" s="11" t="s">
        <v>4805</v>
      </c>
      <c r="H1484" s="12"/>
      <c r="I1484" s="13">
        <v>15</v>
      </c>
      <c r="J1484" s="13">
        <v>21</v>
      </c>
      <c r="K1484" s="14" t="str">
        <f>HYPERLINK("http://twitter.com/download/iphone","Twitter for iPhone")</f>
        <v>Twitter for iPhone</v>
      </c>
      <c r="L1484" s="13">
        <v>2612</v>
      </c>
      <c r="M1484" s="13">
        <v>434</v>
      </c>
      <c r="N1484" s="13">
        <v>19</v>
      </c>
      <c r="O1484" s="15"/>
      <c r="P1484" s="6">
        <v>42992.51461805556</v>
      </c>
      <c r="Q1484" s="12"/>
      <c r="R1484" s="17" t="s">
        <v>4806</v>
      </c>
      <c r="S1484" s="12"/>
      <c r="T1484" s="12"/>
      <c r="U1484" s="10" t="str">
        <f>HYPERLINK("https://pbs.twimg.com/profile_images/929014252349853696/Ij7McdVI.jpg","View")</f>
        <v>View</v>
      </c>
    </row>
    <row r="1485" spans="1:21" ht="40.799999999999997">
      <c r="A1485" s="6">
        <v>43418.815381944441</v>
      </c>
      <c r="B1485" s="7" t="str">
        <f>HYPERLINK("https://twitter.com/raquelmorenobar","@raquelmorenobar")</f>
        <v>@raquelmorenobar</v>
      </c>
      <c r="C1485" s="8" t="s">
        <v>2255</v>
      </c>
      <c r="D1485" s="9" t="s">
        <v>4807</v>
      </c>
      <c r="E1485" s="10" t="str">
        <f>HYPERLINK("https://twitter.com/raquelmorenobar/status/1062775708919980034","1062775708919980034")</f>
        <v>1062775708919980034</v>
      </c>
      <c r="F1485" s="12"/>
      <c r="G1485" s="12"/>
      <c r="H1485" s="12"/>
      <c r="I1485" s="13">
        <v>0</v>
      </c>
      <c r="J1485" s="13">
        <v>2</v>
      </c>
      <c r="K1485" s="14" t="str">
        <f t="shared" ref="K1485:K1489" si="398">HYPERLINK("http://twitter.com/download/android","Twitter for Android")</f>
        <v>Twitter for Android</v>
      </c>
      <c r="L1485" s="13">
        <v>93</v>
      </c>
      <c r="M1485" s="13">
        <v>139</v>
      </c>
      <c r="N1485" s="13">
        <v>0</v>
      </c>
      <c r="O1485" s="15"/>
      <c r="P1485" s="6">
        <v>40742.653263888889</v>
      </c>
      <c r="Q1485" s="12"/>
      <c r="R1485" s="17" t="s">
        <v>2259</v>
      </c>
      <c r="S1485" s="12"/>
      <c r="T1485" s="12"/>
      <c r="U1485" s="10" t="str">
        <f>HYPERLINK("https://pbs.twimg.com/profile_images/1032036088095891456/iSZwOObA.jpg","View")</f>
        <v>View</v>
      </c>
    </row>
    <row r="1486" spans="1:21" ht="20.399999999999999">
      <c r="A1486" s="6">
        <v>43418.808113425926</v>
      </c>
      <c r="B1486" s="7" t="str">
        <f>HYPERLINK("https://twitter.com/CrisVanGuez25","@CrisVanGuez25")</f>
        <v>@CrisVanGuez25</v>
      </c>
      <c r="C1486" s="8" t="s">
        <v>5451</v>
      </c>
      <c r="D1486" s="9" t="s">
        <v>5452</v>
      </c>
      <c r="E1486" s="10" t="str">
        <f>HYPERLINK("https://twitter.com/CrisVanGuez25/status/1062773075719213058","1062773075719213058")</f>
        <v>1062773075719213058</v>
      </c>
      <c r="F1486" s="11" t="s">
        <v>5453</v>
      </c>
      <c r="G1486" s="12"/>
      <c r="H1486" s="12"/>
      <c r="I1486" s="13">
        <v>0</v>
      </c>
      <c r="J1486" s="13">
        <v>0</v>
      </c>
      <c r="K1486" s="14" t="str">
        <f t="shared" si="398"/>
        <v>Twitter for Android</v>
      </c>
      <c r="L1486" s="13">
        <v>1336</v>
      </c>
      <c r="M1486" s="13">
        <v>1236</v>
      </c>
      <c r="N1486" s="13">
        <v>54</v>
      </c>
      <c r="O1486" s="15"/>
      <c r="P1486" s="6">
        <v>41192.733437499999</v>
      </c>
      <c r="Q1486" s="16" t="s">
        <v>5454</v>
      </c>
      <c r="R1486" s="17" t="s">
        <v>5455</v>
      </c>
      <c r="S1486" s="12"/>
      <c r="T1486" s="12"/>
      <c r="U1486" s="10" t="str">
        <f>HYPERLINK("https://pbs.twimg.com/profile_images/1059460323076440064/Vg8RKtn_.jpg","View")</f>
        <v>View</v>
      </c>
    </row>
    <row r="1487" spans="1:21" ht="112.2">
      <c r="A1487" s="6">
        <v>43418.80746527778</v>
      </c>
      <c r="B1487" s="7" t="str">
        <f>HYPERLINK("https://twitter.com/0Realista3","@0Realista3")</f>
        <v>@0Realista3</v>
      </c>
      <c r="C1487" s="8" t="s">
        <v>2021</v>
      </c>
      <c r="D1487" s="9" t="s">
        <v>4808</v>
      </c>
      <c r="E1487" s="10" t="str">
        <f>HYPERLINK("https://twitter.com/0Realista3/status/1062772840292933632","1062772840292933632")</f>
        <v>1062772840292933632</v>
      </c>
      <c r="F1487" s="11" t="s">
        <v>2708</v>
      </c>
      <c r="G1487" s="11" t="s">
        <v>2709</v>
      </c>
      <c r="H1487" s="12"/>
      <c r="I1487" s="13">
        <v>0</v>
      </c>
      <c r="J1487" s="13">
        <v>0</v>
      </c>
      <c r="K1487" s="14" t="str">
        <f t="shared" si="398"/>
        <v>Twitter for Android</v>
      </c>
      <c r="L1487" s="13">
        <v>141</v>
      </c>
      <c r="M1487" s="13">
        <v>183</v>
      </c>
      <c r="N1487" s="13">
        <v>4</v>
      </c>
      <c r="O1487" s="15"/>
      <c r="P1487" s="6">
        <v>43321.979270833333</v>
      </c>
      <c r="Q1487" s="12"/>
      <c r="R1487" s="21"/>
      <c r="S1487" s="12"/>
      <c r="T1487" s="12"/>
      <c r="U1487" s="10" t="str">
        <f>HYPERLINK("https://pbs.twimg.com/profile_images/1027818317438959617/4exm99jw.jpg","View")</f>
        <v>View</v>
      </c>
    </row>
    <row r="1488" spans="1:21" ht="112.2">
      <c r="A1488" s="6">
        <v>43418.801770833335</v>
      </c>
      <c r="B1488" s="7" t="str">
        <f>HYPERLINK("https://twitter.com/Santi_ABASCAL","@Santi_ABASCAL")</f>
        <v>@Santi_ABASCAL</v>
      </c>
      <c r="C1488" s="8" t="s">
        <v>182</v>
      </c>
      <c r="D1488" s="9" t="s">
        <v>5456</v>
      </c>
      <c r="E1488" s="10" t="str">
        <f>HYPERLINK("https://twitter.com/Santi_ABASCAL/status/1062770778125619201","1062770778125619201")</f>
        <v>1062770778125619201</v>
      </c>
      <c r="F1488" s="11" t="s">
        <v>5457</v>
      </c>
      <c r="G1488" s="11" t="s">
        <v>5458</v>
      </c>
      <c r="H1488" s="12"/>
      <c r="I1488" s="13">
        <v>3025</v>
      </c>
      <c r="J1488" s="13">
        <v>4745</v>
      </c>
      <c r="K1488" s="14" t="str">
        <f t="shared" si="398"/>
        <v>Twitter for Android</v>
      </c>
      <c r="L1488" s="13">
        <v>117602</v>
      </c>
      <c r="M1488" s="13">
        <v>3896</v>
      </c>
      <c r="N1488" s="13">
        <v>915</v>
      </c>
      <c r="O1488" s="23" t="s">
        <v>186</v>
      </c>
      <c r="P1488" s="6">
        <v>40606.716446759259</v>
      </c>
      <c r="Q1488" s="16" t="s">
        <v>188</v>
      </c>
      <c r="R1488" s="17" t="s">
        <v>189</v>
      </c>
      <c r="S1488" s="11" t="s">
        <v>190</v>
      </c>
      <c r="T1488" s="12"/>
      <c r="U1488" s="10" t="str">
        <f>HYPERLINK("https://pbs.twimg.com/profile_images/1010488787686879232/2CnqYKlD.jpg","View")</f>
        <v>View</v>
      </c>
    </row>
    <row r="1489" spans="1:21" ht="30.6">
      <c r="A1489" s="6">
        <v>43418.801724537036</v>
      </c>
      <c r="B1489" s="7" t="str">
        <f>HYPERLINK("https://twitter.com/DelfinCorcoles","@DelfinCorcoles")</f>
        <v>@DelfinCorcoles</v>
      </c>
      <c r="C1489" s="8" t="s">
        <v>4693</v>
      </c>
      <c r="D1489" s="9" t="s">
        <v>4809</v>
      </c>
      <c r="E1489" s="10" t="str">
        <f>HYPERLINK("https://twitter.com/DelfinCorcoles/status/1062770762325614593","1062770762325614593")</f>
        <v>1062770762325614593</v>
      </c>
      <c r="F1489" s="12"/>
      <c r="G1489" s="11" t="s">
        <v>4810</v>
      </c>
      <c r="H1489" s="12"/>
      <c r="I1489" s="13">
        <v>2</v>
      </c>
      <c r="J1489" s="13">
        <v>7</v>
      </c>
      <c r="K1489" s="14" t="str">
        <f t="shared" si="398"/>
        <v>Twitter for Android</v>
      </c>
      <c r="L1489" s="13">
        <v>408</v>
      </c>
      <c r="M1489" s="13">
        <v>461</v>
      </c>
      <c r="N1489" s="13">
        <v>1</v>
      </c>
      <c r="O1489" s="15"/>
      <c r="P1489" s="6">
        <v>41655.901296296295</v>
      </c>
      <c r="Q1489" s="12"/>
      <c r="R1489" s="21"/>
      <c r="S1489" s="12"/>
      <c r="T1489" s="12"/>
      <c r="U1489" s="10" t="str">
        <f>HYPERLINK("https://pbs.twimg.com/profile_images/978220185739022336/hKZhaw7N.jpg","View")</f>
        <v>View</v>
      </c>
    </row>
    <row r="1490" spans="1:21" ht="112.2">
      <c r="A1490" s="6">
        <v>43418.800439814819</v>
      </c>
      <c r="B1490" s="7" t="str">
        <f>HYPERLINK("https://twitter.com/MariaTabarnia","@MariaTabarnia")</f>
        <v>@MariaTabarnia</v>
      </c>
      <c r="C1490" s="8" t="s">
        <v>2758</v>
      </c>
      <c r="D1490" s="9" t="s">
        <v>4811</v>
      </c>
      <c r="E1490" s="10" t="str">
        <f>HYPERLINK("https://twitter.com/MariaTabarnia/status/1062770296057487360","1062770296057487360")</f>
        <v>1062770296057487360</v>
      </c>
      <c r="F1490" s="11" t="s">
        <v>4812</v>
      </c>
      <c r="G1490" s="12"/>
      <c r="H1490" s="12"/>
      <c r="I1490" s="13">
        <v>4</v>
      </c>
      <c r="J1490" s="13">
        <v>11</v>
      </c>
      <c r="K1490" s="14" t="str">
        <f>HYPERLINK("http://twitter.com/#!/download/ipad","Twitter for iPad")</f>
        <v>Twitter for iPad</v>
      </c>
      <c r="L1490" s="13">
        <v>11497</v>
      </c>
      <c r="M1490" s="13">
        <v>12426</v>
      </c>
      <c r="N1490" s="13">
        <v>52</v>
      </c>
      <c r="O1490" s="15"/>
      <c r="P1490" s="6">
        <v>41424.855567129627</v>
      </c>
      <c r="Q1490" s="16" t="s">
        <v>2762</v>
      </c>
      <c r="R1490" s="17" t="s">
        <v>2763</v>
      </c>
      <c r="S1490" s="12"/>
      <c r="T1490" s="12"/>
      <c r="U1490" s="10" t="str">
        <f>HYPERLINK("https://pbs.twimg.com/profile_images/906661884199391232/L9xcUYsf.jpg","View")</f>
        <v>View</v>
      </c>
    </row>
    <row r="1491" spans="1:21" ht="51">
      <c r="A1491" s="6">
        <v>43418.79305555555</v>
      </c>
      <c r="B1491" s="7" t="str">
        <f t="shared" ref="B1491:B1492" si="399">HYPERLINK("https://twitter.com/bitMomentum","@bitMomentum")</f>
        <v>@bitMomentum</v>
      </c>
      <c r="C1491" s="8" t="s">
        <v>368</v>
      </c>
      <c r="D1491" s="9" t="s">
        <v>4813</v>
      </c>
      <c r="E1491" s="10" t="str">
        <f>HYPERLINK("https://twitter.com/bitMomentum/status/1062767618543759361","1062767618543759361")</f>
        <v>1062767618543759361</v>
      </c>
      <c r="F1491" s="12"/>
      <c r="G1491" s="12"/>
      <c r="H1491" s="12"/>
      <c r="I1491" s="13">
        <v>0</v>
      </c>
      <c r="J1491" s="13">
        <v>0</v>
      </c>
      <c r="K1491" s="14" t="str">
        <f t="shared" ref="K1491:K1492" si="400">HYPERLINK("http://www.bitmomentum.com","bitMomentum Bot")</f>
        <v>bitMomentum Bot</v>
      </c>
      <c r="L1491" s="13">
        <v>10132</v>
      </c>
      <c r="M1491" s="13">
        <v>1060</v>
      </c>
      <c r="N1491" s="13">
        <v>267</v>
      </c>
      <c r="O1491" s="15"/>
      <c r="P1491" s="6">
        <v>41608.667511574073</v>
      </c>
      <c r="Q1491" s="12"/>
      <c r="R1491" s="17" t="s">
        <v>371</v>
      </c>
      <c r="S1491" s="11" t="s">
        <v>372</v>
      </c>
      <c r="T1491" s="12"/>
      <c r="U1491" s="10" t="str">
        <f t="shared" ref="U1491:U1492" si="401">HYPERLINK("https://pbs.twimg.com/profile_images/378800000862185241/20ij2H3u.png","View")</f>
        <v>View</v>
      </c>
    </row>
    <row r="1492" spans="1:21" ht="51">
      <c r="A1492" s="6">
        <v>43418.792361111111</v>
      </c>
      <c r="B1492" s="7" t="str">
        <f t="shared" si="399"/>
        <v>@bitMomentum</v>
      </c>
      <c r="C1492" s="8" t="s">
        <v>368</v>
      </c>
      <c r="D1492" s="9" t="s">
        <v>4814</v>
      </c>
      <c r="E1492" s="10" t="str">
        <f>HYPERLINK("https://twitter.com/bitMomentum/status/1062767366797492226","1062767366797492226")</f>
        <v>1062767366797492226</v>
      </c>
      <c r="F1492" s="12"/>
      <c r="G1492" s="12"/>
      <c r="H1492" s="12"/>
      <c r="I1492" s="13">
        <v>0</v>
      </c>
      <c r="J1492" s="13">
        <v>0</v>
      </c>
      <c r="K1492" s="14" t="str">
        <f t="shared" si="400"/>
        <v>bitMomentum Bot</v>
      </c>
      <c r="L1492" s="13">
        <v>10132</v>
      </c>
      <c r="M1492" s="13">
        <v>1060</v>
      </c>
      <c r="N1492" s="13">
        <v>267</v>
      </c>
      <c r="O1492" s="15"/>
      <c r="P1492" s="6">
        <v>41608.667511574073</v>
      </c>
      <c r="Q1492" s="12"/>
      <c r="R1492" s="17" t="s">
        <v>371</v>
      </c>
      <c r="S1492" s="11" t="s">
        <v>372</v>
      </c>
      <c r="T1492" s="12"/>
      <c r="U1492" s="10" t="str">
        <f t="shared" si="401"/>
        <v>View</v>
      </c>
    </row>
    <row r="1493" spans="1:21" ht="20.399999999999999">
      <c r="A1493" s="6">
        <v>43418.792013888888</v>
      </c>
      <c r="B1493" s="7" t="str">
        <f>HYPERLINK("https://twitter.com/voxpinatar","@voxpinatar")</f>
        <v>@voxpinatar</v>
      </c>
      <c r="C1493" s="8" t="s">
        <v>4493</v>
      </c>
      <c r="D1493" s="9" t="s">
        <v>4815</v>
      </c>
      <c r="E1493" s="10" t="str">
        <f>HYPERLINK("https://twitter.com/voxpinatar/status/1062767241710706688","1062767241710706688")</f>
        <v>1062767241710706688</v>
      </c>
      <c r="F1493" s="12"/>
      <c r="G1493" s="11" t="s">
        <v>4816</v>
      </c>
      <c r="H1493" s="12"/>
      <c r="I1493" s="13">
        <v>5</v>
      </c>
      <c r="J1493" s="13">
        <v>16</v>
      </c>
      <c r="K1493" s="14" t="str">
        <f>HYPERLINK("http://twitter.com/download/android","Twitter for Android")</f>
        <v>Twitter for Android</v>
      </c>
      <c r="L1493" s="13">
        <v>65</v>
      </c>
      <c r="M1493" s="13">
        <v>43</v>
      </c>
      <c r="N1493" s="13">
        <v>0</v>
      </c>
      <c r="O1493" s="15"/>
      <c r="P1493" s="6">
        <v>43373.796458333338</v>
      </c>
      <c r="Q1493" s="16" t="s">
        <v>4496</v>
      </c>
      <c r="R1493" s="17" t="s">
        <v>4497</v>
      </c>
      <c r="S1493" s="11" t="s">
        <v>187</v>
      </c>
      <c r="T1493" s="12"/>
      <c r="U1493" s="10" t="str">
        <f>HYPERLINK("https://pbs.twimg.com/profile_images/1046477551768678400/gn56zTTr.jpg","View")</f>
        <v>View</v>
      </c>
    </row>
    <row r="1494" spans="1:21" ht="51">
      <c r="A1494" s="6">
        <v>43418.790648148148</v>
      </c>
      <c r="B1494" s="7" t="str">
        <f>HYPERLINK("https://twitter.com/CasoAislado_Es","@CasoAislado_Es")</f>
        <v>@CasoAislado_Es</v>
      </c>
      <c r="C1494" s="8" t="s">
        <v>530</v>
      </c>
      <c r="D1494" s="9" t="s">
        <v>4817</v>
      </c>
      <c r="E1494" s="10" t="str">
        <f>HYPERLINK("https://twitter.com/CasoAislado_Es/status/1062766747332288512","1062766747332288512")</f>
        <v>1062766747332288512</v>
      </c>
      <c r="F1494" s="12"/>
      <c r="G1494" s="11" t="s">
        <v>4297</v>
      </c>
      <c r="H1494" s="12"/>
      <c r="I1494" s="13">
        <v>2140</v>
      </c>
      <c r="J1494" s="13">
        <v>1751</v>
      </c>
      <c r="K1494" s="14" t="str">
        <f>HYPERLINK("http://twitter.com","Twitter Web Client")</f>
        <v>Twitter Web Client</v>
      </c>
      <c r="L1494" s="13">
        <v>20849</v>
      </c>
      <c r="M1494" s="13">
        <v>6396</v>
      </c>
      <c r="N1494" s="13">
        <v>145</v>
      </c>
      <c r="O1494" s="15"/>
      <c r="P1494" s="6">
        <v>40257.560439814813</v>
      </c>
      <c r="Q1494" s="16" t="s">
        <v>533</v>
      </c>
      <c r="R1494" s="17" t="s">
        <v>534</v>
      </c>
      <c r="S1494" s="11" t="s">
        <v>535</v>
      </c>
      <c r="T1494" s="12"/>
      <c r="U1494" s="10" t="str">
        <f>HYPERLINK("https://pbs.twimg.com/profile_images/818503412702707713/QK1J8CEn.jpg","View")</f>
        <v>View</v>
      </c>
    </row>
    <row r="1495" spans="1:21" ht="40.799999999999997">
      <c r="A1495" s="6">
        <v>43418.789513888885</v>
      </c>
      <c r="B1495" s="7" t="str">
        <f>HYPERLINK("https://twitter.com/JESDBC","@JESDBC")</f>
        <v>@JESDBC</v>
      </c>
      <c r="C1495" s="8" t="s">
        <v>4818</v>
      </c>
      <c r="D1495" s="9" t="s">
        <v>4819</v>
      </c>
      <c r="E1495" s="10" t="str">
        <f>HYPERLINK("https://twitter.com/JESDBC/status/1062766338039537667","1062766338039537667")</f>
        <v>1062766338039537667</v>
      </c>
      <c r="F1495" s="12"/>
      <c r="G1495" s="11" t="s">
        <v>4820</v>
      </c>
      <c r="H1495" s="12"/>
      <c r="I1495" s="13">
        <v>46</v>
      </c>
      <c r="J1495" s="13">
        <v>55</v>
      </c>
      <c r="K1495" s="14" t="str">
        <f t="shared" ref="K1495:K1496" si="402">HYPERLINK("http://twitter.com/download/android","Twitter for Android")</f>
        <v>Twitter for Android</v>
      </c>
      <c r="L1495" s="13">
        <v>1041</v>
      </c>
      <c r="M1495" s="13">
        <v>627</v>
      </c>
      <c r="N1495" s="13">
        <v>16</v>
      </c>
      <c r="O1495" s="15"/>
      <c r="P1495" s="6">
        <v>41565.600914351853</v>
      </c>
      <c r="Q1495" s="16" t="s">
        <v>66</v>
      </c>
      <c r="R1495" s="17" t="s">
        <v>4821</v>
      </c>
      <c r="S1495" s="12"/>
      <c r="T1495" s="12"/>
      <c r="U1495" s="10" t="str">
        <f>HYPERLINK("https://pbs.twimg.com/profile_images/1061636788622712832/yb3CeeJg.jpg","View")</f>
        <v>View</v>
      </c>
    </row>
    <row r="1496" spans="1:21" ht="51">
      <c r="A1496" s="6">
        <v>43418.787164351852</v>
      </c>
      <c r="B1496" s="7" t="str">
        <f>HYPERLINK("https://twitter.com/LaPortavoza1989","@LaPortavoza1989")</f>
        <v>@LaPortavoza1989</v>
      </c>
      <c r="C1496" s="8" t="s">
        <v>3162</v>
      </c>
      <c r="D1496" s="9" t="s">
        <v>4823</v>
      </c>
      <c r="E1496" s="10" t="str">
        <f>HYPERLINK("https://twitter.com/LaPortavoza1989/status/1062765485098446848","1062765485098446848")</f>
        <v>1062765485098446848</v>
      </c>
      <c r="F1496" s="12"/>
      <c r="G1496" s="11" t="s">
        <v>4824</v>
      </c>
      <c r="H1496" s="12"/>
      <c r="I1496" s="13">
        <v>4</v>
      </c>
      <c r="J1496" s="13">
        <v>4</v>
      </c>
      <c r="K1496" s="14" t="str">
        <f t="shared" si="402"/>
        <v>Twitter for Android</v>
      </c>
      <c r="L1496" s="13">
        <v>56</v>
      </c>
      <c r="M1496" s="13">
        <v>60</v>
      </c>
      <c r="N1496" s="13">
        <v>0</v>
      </c>
      <c r="O1496" s="15"/>
      <c r="P1496" s="6">
        <v>41987.87018518518</v>
      </c>
      <c r="Q1496" s="16" t="s">
        <v>3164</v>
      </c>
      <c r="R1496" s="17" t="s">
        <v>3166</v>
      </c>
      <c r="S1496" s="12"/>
      <c r="T1496" s="12"/>
      <c r="U1496" s="10" t="str">
        <f>HYPERLINK("https://pbs.twimg.com/profile_images/1007661751947669504/n1nvrtQv.jpg","View")</f>
        <v>View</v>
      </c>
    </row>
    <row r="1497" spans="1:21" ht="40.799999999999997">
      <c r="A1497" s="6">
        <v>43418.785011574073</v>
      </c>
      <c r="B1497" s="7" t="str">
        <f>HYPERLINK("https://twitter.com/Velherro","@Velherro")</f>
        <v>@Velherro</v>
      </c>
      <c r="C1497" s="8" t="s">
        <v>4058</v>
      </c>
      <c r="D1497" s="9" t="s">
        <v>4825</v>
      </c>
      <c r="E1497" s="10" t="str">
        <f>HYPERLINK("https://twitter.com/Velherro/status/1062764702990766083","1062764702990766083")</f>
        <v>1062764702990766083</v>
      </c>
      <c r="F1497" s="12"/>
      <c r="G1497" s="11" t="s">
        <v>4348</v>
      </c>
      <c r="H1497" s="12"/>
      <c r="I1497" s="13">
        <v>125</v>
      </c>
      <c r="J1497" s="13">
        <v>188</v>
      </c>
      <c r="K1497" s="14" t="str">
        <f t="shared" ref="K1497:K1498" si="403">HYPERLINK("http://twitter.com/download/iphone","Twitter for iPhone")</f>
        <v>Twitter for iPhone</v>
      </c>
      <c r="L1497" s="13">
        <v>4880</v>
      </c>
      <c r="M1497" s="13">
        <v>3450</v>
      </c>
      <c r="N1497" s="13">
        <v>31</v>
      </c>
      <c r="O1497" s="15"/>
      <c r="P1497" s="6">
        <v>40784.657280092593</v>
      </c>
      <c r="Q1497" s="12"/>
      <c r="R1497" s="17" t="s">
        <v>4061</v>
      </c>
      <c r="S1497" s="12"/>
      <c r="T1497" s="12"/>
      <c r="U1497" s="10" t="str">
        <f>HYPERLINK("https://pbs.twimg.com/profile_images/1058599475801939969/O1HYkW4n.jpg","View")</f>
        <v>View</v>
      </c>
    </row>
    <row r="1498" spans="1:21" ht="51">
      <c r="A1498" s="6">
        <v>43418.784664351857</v>
      </c>
      <c r="B1498" s="7" t="str">
        <f>HYPERLINK("https://twitter.com/FranciscoRamnP3","@FranciscoRamnP3")</f>
        <v>@FranciscoRamnP3</v>
      </c>
      <c r="C1498" s="8" t="s">
        <v>4826</v>
      </c>
      <c r="D1498" s="9" t="s">
        <v>4827</v>
      </c>
      <c r="E1498" s="10" t="str">
        <f>HYPERLINK("https://twitter.com/FranciscoRamnP3/status/1062764578352889856","1062764578352889856")</f>
        <v>1062764578352889856</v>
      </c>
      <c r="F1498" s="12"/>
      <c r="G1498" s="12"/>
      <c r="H1498" s="12"/>
      <c r="I1498" s="13">
        <v>0</v>
      </c>
      <c r="J1498" s="13">
        <v>0</v>
      </c>
      <c r="K1498" s="14" t="str">
        <f t="shared" si="403"/>
        <v>Twitter for iPhone</v>
      </c>
      <c r="L1498" s="13">
        <v>22</v>
      </c>
      <c r="M1498" s="13">
        <v>57</v>
      </c>
      <c r="N1498" s="13">
        <v>0</v>
      </c>
      <c r="O1498" s="15"/>
      <c r="P1498" s="6">
        <v>43417.568275462967</v>
      </c>
      <c r="Q1498" s="16" t="s">
        <v>1564</v>
      </c>
      <c r="R1498" s="17" t="s">
        <v>4828</v>
      </c>
      <c r="S1498" s="12"/>
      <c r="T1498" s="12"/>
      <c r="U1498" s="10" t="str">
        <f>HYPERLINK("https://pbs.twimg.com/profile_images/1062326068735066115/ImYnzuo5.jpg","View")</f>
        <v>View</v>
      </c>
    </row>
    <row r="1499" spans="1:21" ht="30.6">
      <c r="A1499" s="6">
        <v>43418.783796296295</v>
      </c>
      <c r="B1499" s="7" t="str">
        <f>HYPERLINK("https://twitter.com/Crooperc","@Crooperc")</f>
        <v>@Crooperc</v>
      </c>
      <c r="C1499" s="8" t="s">
        <v>4796</v>
      </c>
      <c r="D1499" s="9" t="s">
        <v>5459</v>
      </c>
      <c r="E1499" s="10" t="str">
        <f>HYPERLINK("https://twitter.com/Crooperc/status/1062764264119775232","1062764264119775232")</f>
        <v>1062764264119775232</v>
      </c>
      <c r="F1499" s="12"/>
      <c r="G1499" s="12"/>
      <c r="H1499" s="12"/>
      <c r="I1499" s="13">
        <v>0</v>
      </c>
      <c r="J1499" s="13">
        <v>1</v>
      </c>
      <c r="K1499" s="14" t="str">
        <f>HYPERLINK("http://twitter.com","Twitter Web Client")</f>
        <v>Twitter Web Client</v>
      </c>
      <c r="L1499" s="13">
        <v>448</v>
      </c>
      <c r="M1499" s="13">
        <v>1008</v>
      </c>
      <c r="N1499" s="13">
        <v>7</v>
      </c>
      <c r="O1499" s="15"/>
      <c r="P1499" s="6">
        <v>40576.682604166665</v>
      </c>
      <c r="Q1499" s="16" t="s">
        <v>44</v>
      </c>
      <c r="R1499" s="17" t="s">
        <v>4800</v>
      </c>
      <c r="S1499" s="12"/>
      <c r="T1499" s="12"/>
      <c r="U1499" s="10" t="str">
        <f>HYPERLINK("https://pbs.twimg.com/profile_images/710548663265857536/-TZuIifW.jpg","View")</f>
        <v>View</v>
      </c>
    </row>
    <row r="1500" spans="1:21" ht="20.399999999999999">
      <c r="A1500" s="6">
        <v>43418.781550925924</v>
      </c>
      <c r="B1500" s="7" t="str">
        <f>HYPERLINK("https://twitter.com/voxpinatar","@voxpinatar")</f>
        <v>@voxpinatar</v>
      </c>
      <c r="C1500" s="8" t="s">
        <v>4493</v>
      </c>
      <c r="D1500" s="9" t="s">
        <v>4829</v>
      </c>
      <c r="E1500" s="10" t="str">
        <f>HYPERLINK("https://twitter.com/voxpinatar/status/1062763450496155652","1062763450496155652")</f>
        <v>1062763450496155652</v>
      </c>
      <c r="F1500" s="12"/>
      <c r="G1500" s="11" t="s">
        <v>4830</v>
      </c>
      <c r="H1500" s="12"/>
      <c r="I1500" s="13">
        <v>1</v>
      </c>
      <c r="J1500" s="13">
        <v>2</v>
      </c>
      <c r="K1500" s="14" t="str">
        <f t="shared" ref="K1500:K1501" si="404">HYPERLINK("http://twitter.com/download/android","Twitter for Android")</f>
        <v>Twitter for Android</v>
      </c>
      <c r="L1500" s="13">
        <v>65</v>
      </c>
      <c r="M1500" s="13">
        <v>43</v>
      </c>
      <c r="N1500" s="13">
        <v>0</v>
      </c>
      <c r="O1500" s="15"/>
      <c r="P1500" s="6">
        <v>43373.796458333338</v>
      </c>
      <c r="Q1500" s="16" t="s">
        <v>4496</v>
      </c>
      <c r="R1500" s="17" t="s">
        <v>4497</v>
      </c>
      <c r="S1500" s="11" t="s">
        <v>187</v>
      </c>
      <c r="T1500" s="12"/>
      <c r="U1500" s="10" t="str">
        <f>HYPERLINK("https://pbs.twimg.com/profile_images/1046477551768678400/gn56zTTr.jpg","View")</f>
        <v>View</v>
      </c>
    </row>
    <row r="1501" spans="1:21" ht="40.799999999999997">
      <c r="A1501" s="6">
        <v>43418.778634259259</v>
      </c>
      <c r="B1501" s="7" t="str">
        <f>HYPERLINK("https://twitter.com/DelfinCorcoles","@DelfinCorcoles")</f>
        <v>@DelfinCorcoles</v>
      </c>
      <c r="C1501" s="8" t="s">
        <v>4693</v>
      </c>
      <c r="D1501" s="9" t="s">
        <v>4831</v>
      </c>
      <c r="E1501" s="10" t="str">
        <f>HYPERLINK("https://twitter.com/DelfinCorcoles/status/1062762394022223872","1062762394022223872")</f>
        <v>1062762394022223872</v>
      </c>
      <c r="F1501" s="12"/>
      <c r="G1501" s="11" t="s">
        <v>4832</v>
      </c>
      <c r="H1501" s="12"/>
      <c r="I1501" s="13">
        <v>21</v>
      </c>
      <c r="J1501" s="13">
        <v>28</v>
      </c>
      <c r="K1501" s="14" t="str">
        <f t="shared" si="404"/>
        <v>Twitter for Android</v>
      </c>
      <c r="L1501" s="13">
        <v>408</v>
      </c>
      <c r="M1501" s="13">
        <v>461</v>
      </c>
      <c r="N1501" s="13">
        <v>1</v>
      </c>
      <c r="O1501" s="15"/>
      <c r="P1501" s="6">
        <v>41655.901296296295</v>
      </c>
      <c r="Q1501" s="12"/>
      <c r="R1501" s="21"/>
      <c r="S1501" s="12"/>
      <c r="T1501" s="12"/>
      <c r="U1501" s="10" t="str">
        <f>HYPERLINK("https://pbs.twimg.com/profile_images/978220185739022336/hKZhaw7N.jpg","View")</f>
        <v>View</v>
      </c>
    </row>
    <row r="1502" spans="1:21" ht="40.799999999999997">
      <c r="A1502" s="6">
        <v>43418.761620370366</v>
      </c>
      <c r="B1502" s="7" t="str">
        <f>HYPERLINK("https://twitter.com/Miotroyo2parte","@Miotroyo2parte")</f>
        <v>@Miotroyo2parte</v>
      </c>
      <c r="C1502" s="8" t="s">
        <v>3860</v>
      </c>
      <c r="D1502" s="9" t="s">
        <v>4833</v>
      </c>
      <c r="E1502" s="10" t="str">
        <f>HYPERLINK("https://twitter.com/Miotroyo2parte/status/1062756227644559360","1062756227644559360")</f>
        <v>1062756227644559360</v>
      </c>
      <c r="F1502" s="12"/>
      <c r="G1502" s="11" t="s">
        <v>3516</v>
      </c>
      <c r="H1502" s="12"/>
      <c r="I1502" s="13">
        <v>1683</v>
      </c>
      <c r="J1502" s="13">
        <v>3497</v>
      </c>
      <c r="K1502" s="14" t="str">
        <f t="shared" ref="K1502:K1503" si="405">HYPERLINK("http://twitter.com/download/iphone","Twitter for iPhone")</f>
        <v>Twitter for iPhone</v>
      </c>
      <c r="L1502" s="13">
        <v>103455</v>
      </c>
      <c r="M1502" s="13">
        <v>23280</v>
      </c>
      <c r="N1502" s="13">
        <v>371</v>
      </c>
      <c r="O1502" s="15"/>
      <c r="P1502" s="6">
        <v>42077.077013888891</v>
      </c>
      <c r="Q1502" s="12"/>
      <c r="R1502" s="17" t="s">
        <v>3862</v>
      </c>
      <c r="S1502" s="12"/>
      <c r="T1502" s="12"/>
      <c r="U1502" s="10" t="str">
        <f>HYPERLINK("https://pbs.twimg.com/profile_images/714430309098459140/sR5PzPw0.jpg","View")</f>
        <v>View</v>
      </c>
    </row>
    <row r="1503" spans="1:21" ht="40.799999999999997">
      <c r="A1503" s="6">
        <v>43418.759305555555</v>
      </c>
      <c r="B1503" s="7" t="str">
        <f>HYPERLINK("https://twitter.com/vicfanfatal","@vicfanfatal")</f>
        <v>@vicfanfatal</v>
      </c>
      <c r="C1503" s="8" t="s">
        <v>4834</v>
      </c>
      <c r="D1503" s="9" t="s">
        <v>4835</v>
      </c>
      <c r="E1503" s="10" t="str">
        <f>HYPERLINK("https://twitter.com/vicfanfatal/status/1062755388154613760","1062755388154613760")</f>
        <v>1062755388154613760</v>
      </c>
      <c r="F1503" s="11" t="s">
        <v>4836</v>
      </c>
      <c r="G1503" s="12"/>
      <c r="H1503" s="12"/>
      <c r="I1503" s="13">
        <v>0</v>
      </c>
      <c r="J1503" s="13">
        <v>1</v>
      </c>
      <c r="K1503" s="14" t="str">
        <f t="shared" si="405"/>
        <v>Twitter for iPhone</v>
      </c>
      <c r="L1503" s="13">
        <v>1221</v>
      </c>
      <c r="M1503" s="13">
        <v>1175</v>
      </c>
      <c r="N1503" s="13">
        <v>45</v>
      </c>
      <c r="O1503" s="15"/>
      <c r="P1503" s="6">
        <v>40737.12599537037</v>
      </c>
      <c r="Q1503" s="16" t="s">
        <v>4837</v>
      </c>
      <c r="R1503" s="17" t="s">
        <v>4838</v>
      </c>
      <c r="S1503" s="11" t="s">
        <v>4839</v>
      </c>
      <c r="T1503" s="12"/>
      <c r="U1503" s="10" t="str">
        <f>HYPERLINK("https://pbs.twimg.com/profile_images/1060234740513550337/PCfbMvMm.jpg","View")</f>
        <v>View</v>
      </c>
    </row>
    <row r="1504" spans="1:21" ht="40.799999999999997">
      <c r="A1504" s="6">
        <v>43418.753159722226</v>
      </c>
      <c r="B1504" s="7" t="str">
        <f>HYPERLINK("https://twitter.com/RadioSick","@RadioSick")</f>
        <v>@RadioSick</v>
      </c>
      <c r="C1504" s="8" t="s">
        <v>1844</v>
      </c>
      <c r="D1504" s="9" t="s">
        <v>4840</v>
      </c>
      <c r="E1504" s="10" t="str">
        <f>HYPERLINK("https://twitter.com/RadioSick/status/1062753162405298181","1062753162405298181")</f>
        <v>1062753162405298181</v>
      </c>
      <c r="F1504" s="12"/>
      <c r="G1504" s="11" t="s">
        <v>4841</v>
      </c>
      <c r="H1504" s="12"/>
      <c r="I1504" s="13">
        <v>0</v>
      </c>
      <c r="J1504" s="13">
        <v>2</v>
      </c>
      <c r="K1504" s="14" t="str">
        <f>HYPERLINK("http://twitter.com","Twitter Web Client")</f>
        <v>Twitter Web Client</v>
      </c>
      <c r="L1504" s="13">
        <v>208</v>
      </c>
      <c r="M1504" s="13">
        <v>667</v>
      </c>
      <c r="N1504" s="13">
        <v>8</v>
      </c>
      <c r="O1504" s="15"/>
      <c r="P1504" s="6">
        <v>40133.722442129627</v>
      </c>
      <c r="Q1504" s="16" t="s">
        <v>104</v>
      </c>
      <c r="R1504" s="17" t="s">
        <v>1847</v>
      </c>
      <c r="S1504" s="11" t="s">
        <v>1848</v>
      </c>
      <c r="T1504" s="12"/>
      <c r="U1504" s="10" t="str">
        <f>HYPERLINK("https://pbs.twimg.com/profile_images/1064955603120996353/fG_NI8dJ.jpg","View")</f>
        <v>View</v>
      </c>
    </row>
    <row r="1505" spans="1:21" ht="51">
      <c r="A1505" s="6">
        <v>43418.751388888893</v>
      </c>
      <c r="B1505" s="7" t="str">
        <f t="shared" ref="B1505:B1506" si="406">HYPERLINK("https://twitter.com/bitMomentum","@bitMomentum")</f>
        <v>@bitMomentum</v>
      </c>
      <c r="C1505" s="8" t="s">
        <v>368</v>
      </c>
      <c r="D1505" s="9" t="s">
        <v>4842</v>
      </c>
      <c r="E1505" s="10" t="str">
        <f>HYPERLINK("https://twitter.com/bitMomentum/status/1062752518835523584","1062752518835523584")</f>
        <v>1062752518835523584</v>
      </c>
      <c r="F1505" s="12"/>
      <c r="G1505" s="12"/>
      <c r="H1505" s="12"/>
      <c r="I1505" s="13">
        <v>0</v>
      </c>
      <c r="J1505" s="13">
        <v>2</v>
      </c>
      <c r="K1505" s="14" t="str">
        <f t="shared" ref="K1505:K1506" si="407">HYPERLINK("http://www.bitmomentum.com","bitMomentum Bot")</f>
        <v>bitMomentum Bot</v>
      </c>
      <c r="L1505" s="13">
        <v>10132</v>
      </c>
      <c r="M1505" s="13">
        <v>1060</v>
      </c>
      <c r="N1505" s="13">
        <v>267</v>
      </c>
      <c r="O1505" s="15"/>
      <c r="P1505" s="6">
        <v>41608.667511574073</v>
      </c>
      <c r="Q1505" s="12"/>
      <c r="R1505" s="17" t="s">
        <v>371</v>
      </c>
      <c r="S1505" s="11" t="s">
        <v>372</v>
      </c>
      <c r="T1505" s="12"/>
      <c r="U1505" s="10" t="str">
        <f t="shared" ref="U1505:U1506" si="408">HYPERLINK("https://pbs.twimg.com/profile_images/378800000862185241/20ij2H3u.png","View")</f>
        <v>View</v>
      </c>
    </row>
    <row r="1506" spans="1:21" ht="51">
      <c r="A1506" s="6">
        <v>43418.750694444447</v>
      </c>
      <c r="B1506" s="7" t="str">
        <f t="shared" si="406"/>
        <v>@bitMomentum</v>
      </c>
      <c r="C1506" s="8" t="s">
        <v>368</v>
      </c>
      <c r="D1506" s="9" t="s">
        <v>4843</v>
      </c>
      <c r="E1506" s="10" t="str">
        <f>HYPERLINK("https://twitter.com/bitMomentum/status/1062752267399581703","1062752267399581703")</f>
        <v>1062752267399581703</v>
      </c>
      <c r="F1506" s="12"/>
      <c r="G1506" s="12"/>
      <c r="H1506" s="12"/>
      <c r="I1506" s="13">
        <v>0</v>
      </c>
      <c r="J1506" s="13">
        <v>2</v>
      </c>
      <c r="K1506" s="14" t="str">
        <f t="shared" si="407"/>
        <v>bitMomentum Bot</v>
      </c>
      <c r="L1506" s="13">
        <v>10132</v>
      </c>
      <c r="M1506" s="13">
        <v>1060</v>
      </c>
      <c r="N1506" s="13">
        <v>267</v>
      </c>
      <c r="O1506" s="15"/>
      <c r="P1506" s="6">
        <v>41608.667511574073</v>
      </c>
      <c r="Q1506" s="12"/>
      <c r="R1506" s="17" t="s">
        <v>371</v>
      </c>
      <c r="S1506" s="11" t="s">
        <v>372</v>
      </c>
      <c r="T1506" s="12"/>
      <c r="U1506" s="10" t="str">
        <f t="shared" si="408"/>
        <v>View</v>
      </c>
    </row>
    <row r="1507" spans="1:21" ht="40.799999999999997">
      <c r="A1507" s="6">
        <v>43418.745520833334</v>
      </c>
      <c r="B1507" s="7" t="str">
        <f>HYPERLINK("https://twitter.com/eldiariomurcia","@eldiariomurcia")</f>
        <v>@eldiariomurcia</v>
      </c>
      <c r="C1507" s="8" t="s">
        <v>3819</v>
      </c>
      <c r="D1507" s="9" t="s">
        <v>4844</v>
      </c>
      <c r="E1507" s="10" t="str">
        <f>HYPERLINK("https://twitter.com/eldiariomurcia/status/1062750393371889664","1062750393371889664")</f>
        <v>1062750393371889664</v>
      </c>
      <c r="F1507" s="12"/>
      <c r="G1507" s="11" t="s">
        <v>4845</v>
      </c>
      <c r="H1507" s="12"/>
      <c r="I1507" s="13">
        <v>7</v>
      </c>
      <c r="J1507" s="13">
        <v>6</v>
      </c>
      <c r="K1507" s="14" t="str">
        <f>HYPERLINK("http://twitter.com/download/android","Twitter for Android")</f>
        <v>Twitter for Android</v>
      </c>
      <c r="L1507" s="13">
        <v>6956</v>
      </c>
      <c r="M1507" s="13">
        <v>2166</v>
      </c>
      <c r="N1507" s="13">
        <v>152</v>
      </c>
      <c r="O1507" s="15"/>
      <c r="P1507" s="6">
        <v>41907.596539351856</v>
      </c>
      <c r="Q1507" s="16" t="s">
        <v>3820</v>
      </c>
      <c r="R1507" s="17" t="s">
        <v>3822</v>
      </c>
      <c r="S1507" s="11" t="s">
        <v>3806</v>
      </c>
      <c r="T1507" s="12"/>
      <c r="U1507" s="10" t="str">
        <f>HYPERLINK("https://pbs.twimg.com/profile_images/972423446188699648/DsZx-3Jc.jpg","View")</f>
        <v>View</v>
      </c>
    </row>
    <row r="1508" spans="1:21" ht="91.8">
      <c r="A1508" s="6">
        <v>43418.729398148149</v>
      </c>
      <c r="B1508" s="7" t="str">
        <f>HYPERLINK("https://twitter.com/Marirocavir","@Marirocavir")</f>
        <v>@Marirocavir</v>
      </c>
      <c r="C1508" s="8" t="s">
        <v>4846</v>
      </c>
      <c r="D1508" s="9" t="s">
        <v>4847</v>
      </c>
      <c r="E1508" s="10" t="str">
        <f>HYPERLINK("https://twitter.com/Marirocavir/status/1062744550626787328","1062744550626787328")</f>
        <v>1062744550626787328</v>
      </c>
      <c r="F1508" s="16" t="s">
        <v>4848</v>
      </c>
      <c r="G1508" s="12"/>
      <c r="H1508" s="12"/>
      <c r="I1508" s="13">
        <v>0</v>
      </c>
      <c r="J1508" s="13">
        <v>0</v>
      </c>
      <c r="K1508" s="14" t="str">
        <f>HYPERLINK("http://twitter.com","Twitter Web Client")</f>
        <v>Twitter Web Client</v>
      </c>
      <c r="L1508" s="13">
        <v>2122</v>
      </c>
      <c r="M1508" s="13">
        <v>2385</v>
      </c>
      <c r="N1508" s="13">
        <v>29</v>
      </c>
      <c r="O1508" s="15"/>
      <c r="P1508" s="6">
        <v>40990.402731481481</v>
      </c>
      <c r="Q1508" s="16" t="s">
        <v>623</v>
      </c>
      <c r="R1508" s="17" t="s">
        <v>4849</v>
      </c>
      <c r="S1508" s="12"/>
      <c r="T1508" s="12"/>
      <c r="U1508" s="10" t="str">
        <f>HYPERLINK("https://pbs.twimg.com/profile_images/784144926787461120/OLLmkVpf.jpg","View")</f>
        <v>View</v>
      </c>
    </row>
    <row r="1509" spans="1:21" ht="91.8">
      <c r="A1509" s="6">
        <v>43418.726307870369</v>
      </c>
      <c r="B1509" s="7" t="str">
        <f>HYPERLINK("https://twitter.com/vox_cartagena","@vox_cartagena")</f>
        <v>@vox_cartagena</v>
      </c>
      <c r="C1509" s="8" t="s">
        <v>3073</v>
      </c>
      <c r="D1509" s="9" t="s">
        <v>4850</v>
      </c>
      <c r="E1509" s="10" t="str">
        <f>HYPERLINK("https://twitter.com/vox_cartagena/status/1062743430789521410","1062743430789521410")</f>
        <v>1062743430789521410</v>
      </c>
      <c r="F1509" s="11" t="s">
        <v>4851</v>
      </c>
      <c r="G1509" s="11" t="s">
        <v>4852</v>
      </c>
      <c r="H1509" s="12"/>
      <c r="I1509" s="13">
        <v>5</v>
      </c>
      <c r="J1509" s="13">
        <v>9</v>
      </c>
      <c r="K1509" s="14" t="str">
        <f t="shared" ref="K1509:K1513" si="409">HYPERLINK("http://twitter.com/download/android","Twitter for Android")</f>
        <v>Twitter for Android</v>
      </c>
      <c r="L1509" s="13">
        <v>1511</v>
      </c>
      <c r="M1509" s="13">
        <v>519</v>
      </c>
      <c r="N1509" s="13">
        <v>22</v>
      </c>
      <c r="O1509" s="15"/>
      <c r="P1509" s="6">
        <v>41716.846712962964</v>
      </c>
      <c r="Q1509" s="16" t="s">
        <v>423</v>
      </c>
      <c r="R1509" s="17" t="s">
        <v>3075</v>
      </c>
      <c r="S1509" s="11" t="s">
        <v>3076</v>
      </c>
      <c r="T1509" s="12"/>
      <c r="U1509" s="10" t="str">
        <f>HYPERLINK("https://pbs.twimg.com/profile_images/976938838806421506/4Xv0sCeD.jpg","View")</f>
        <v>View</v>
      </c>
    </row>
    <row r="1510" spans="1:21" ht="71.400000000000006">
      <c r="A1510" s="6">
        <v>43418.720266203702</v>
      </c>
      <c r="B1510" s="7" t="str">
        <f>HYPERLINK("https://twitter.com/eguskialde369","@eguskialde369")</f>
        <v>@eguskialde369</v>
      </c>
      <c r="C1510" s="8" t="s">
        <v>1399</v>
      </c>
      <c r="D1510" s="9" t="s">
        <v>4853</v>
      </c>
      <c r="E1510" s="10" t="str">
        <f>HYPERLINK("https://twitter.com/eguskialde369/status/1062741241949896704","1062741241949896704")</f>
        <v>1062741241949896704</v>
      </c>
      <c r="F1510" s="11" t="s">
        <v>4854</v>
      </c>
      <c r="G1510" s="11" t="s">
        <v>4855</v>
      </c>
      <c r="H1510" s="12"/>
      <c r="I1510" s="13">
        <v>0</v>
      </c>
      <c r="J1510" s="13">
        <v>0</v>
      </c>
      <c r="K1510" s="14" t="str">
        <f t="shared" si="409"/>
        <v>Twitter for Android</v>
      </c>
      <c r="L1510" s="13">
        <v>1040</v>
      </c>
      <c r="M1510" s="13">
        <v>963</v>
      </c>
      <c r="N1510" s="13">
        <v>20</v>
      </c>
      <c r="O1510" s="15"/>
      <c r="P1510" s="6">
        <v>41442.00849537037</v>
      </c>
      <c r="Q1510" s="12"/>
      <c r="R1510" s="17" t="s">
        <v>1404</v>
      </c>
      <c r="S1510" s="12"/>
      <c r="T1510" s="12"/>
      <c r="U1510" s="10" t="str">
        <f>HYPERLINK("https://pbs.twimg.com/profile_images/1060767567105552384/wdHOLC0t.jpg","View")</f>
        <v>View</v>
      </c>
    </row>
    <row r="1511" spans="1:21" ht="51">
      <c r="A1511" s="6">
        <v>43418.712349537032</v>
      </c>
      <c r="B1511" s="7" t="str">
        <f>HYPERLINK("https://twitter.com/luisesel","@luisesel")</f>
        <v>@luisesel</v>
      </c>
      <c r="C1511" s="8" t="s">
        <v>4856</v>
      </c>
      <c r="D1511" s="9" t="s">
        <v>4857</v>
      </c>
      <c r="E1511" s="10" t="str">
        <f>HYPERLINK("https://twitter.com/luisesel/status/1062738372374990851","1062738372374990851")</f>
        <v>1062738372374990851</v>
      </c>
      <c r="F1511" s="11" t="s">
        <v>4858</v>
      </c>
      <c r="G1511" s="11" t="s">
        <v>4859</v>
      </c>
      <c r="H1511" s="12"/>
      <c r="I1511" s="13">
        <v>2</v>
      </c>
      <c r="J1511" s="13">
        <v>15</v>
      </c>
      <c r="K1511" s="14" t="str">
        <f t="shared" si="409"/>
        <v>Twitter for Android</v>
      </c>
      <c r="L1511" s="13">
        <v>392</v>
      </c>
      <c r="M1511" s="13">
        <v>479</v>
      </c>
      <c r="N1511" s="13">
        <v>4</v>
      </c>
      <c r="O1511" s="15"/>
      <c r="P1511" s="6">
        <v>42949.789652777778</v>
      </c>
      <c r="Q1511" s="12"/>
      <c r="R1511" s="17" t="s">
        <v>4860</v>
      </c>
      <c r="S1511" s="12"/>
      <c r="T1511" s="12"/>
      <c r="U1511" s="10" t="str">
        <f>HYPERLINK("https://pbs.twimg.com/profile_images/1063781211968061440/u_BCpspr.jpg","View")</f>
        <v>View</v>
      </c>
    </row>
    <row r="1512" spans="1:21" ht="51">
      <c r="A1512" s="6">
        <v>43418.702928240746</v>
      </c>
      <c r="B1512" s="7" t="str">
        <f>HYPERLINK("https://twitter.com/catolico_spn","@catolico_spn")</f>
        <v>@catolico_spn</v>
      </c>
      <c r="C1512" s="8" t="s">
        <v>1629</v>
      </c>
      <c r="D1512" s="9" t="s">
        <v>5460</v>
      </c>
      <c r="E1512" s="10" t="str">
        <f>HYPERLINK("https://twitter.com/catolico_spn/status/1062734960006778881","1062734960006778881")</f>
        <v>1062734960006778881</v>
      </c>
      <c r="F1512" s="12"/>
      <c r="G1512" s="12"/>
      <c r="H1512" s="12"/>
      <c r="I1512" s="13">
        <v>0</v>
      </c>
      <c r="J1512" s="13">
        <v>0</v>
      </c>
      <c r="K1512" s="14" t="str">
        <f t="shared" si="409"/>
        <v>Twitter for Android</v>
      </c>
      <c r="L1512" s="13">
        <v>700</v>
      </c>
      <c r="M1512" s="13">
        <v>1451</v>
      </c>
      <c r="N1512" s="13">
        <v>12</v>
      </c>
      <c r="O1512" s="15"/>
      <c r="P1512" s="6">
        <v>41706.440949074073</v>
      </c>
      <c r="Q1512" s="16" t="s">
        <v>104</v>
      </c>
      <c r="R1512" s="17" t="s">
        <v>5461</v>
      </c>
      <c r="S1512" s="12"/>
      <c r="T1512" s="12"/>
      <c r="U1512" s="10" t="str">
        <f>HYPERLINK("https://pbs.twimg.com/profile_images/897893141415645190/encERJee.jpg","View")</f>
        <v>View</v>
      </c>
    </row>
    <row r="1513" spans="1:21" ht="51">
      <c r="A1513" s="6">
        <v>43418.68822916667</v>
      </c>
      <c r="B1513" s="7" t="str">
        <f>HYPERLINK("https://twitter.com/h3llra","@h3llra")</f>
        <v>@h3llra</v>
      </c>
      <c r="C1513" s="8" t="s">
        <v>4861</v>
      </c>
      <c r="D1513" s="9" t="s">
        <v>4862</v>
      </c>
      <c r="E1513" s="10" t="str">
        <f>HYPERLINK("https://twitter.com/h3llra/status/1062729632905080832","1062729632905080832")</f>
        <v>1062729632905080832</v>
      </c>
      <c r="F1513" s="12"/>
      <c r="G1513" s="12"/>
      <c r="H1513" s="12"/>
      <c r="I1513" s="13">
        <v>0</v>
      </c>
      <c r="J1513" s="13">
        <v>1</v>
      </c>
      <c r="K1513" s="14" t="str">
        <f t="shared" si="409"/>
        <v>Twitter for Android</v>
      </c>
      <c r="L1513" s="13">
        <v>44</v>
      </c>
      <c r="M1513" s="13">
        <v>32</v>
      </c>
      <c r="N1513" s="13">
        <v>1</v>
      </c>
      <c r="O1513" s="15"/>
      <c r="P1513" s="6">
        <v>42375.875243055554</v>
      </c>
      <c r="Q1513" s="12"/>
      <c r="R1513" s="17" t="s">
        <v>4863</v>
      </c>
      <c r="S1513" s="12"/>
      <c r="T1513" s="12"/>
      <c r="U1513" s="10" t="str">
        <f>HYPERLINK("https://pbs.twimg.com/profile_images/1059156989215981573/-wtZbFn7.jpg","View")</f>
        <v>View</v>
      </c>
    </row>
    <row r="1514" spans="1:21" ht="40.799999999999997">
      <c r="A1514" s="6">
        <v>43418.681111111116</v>
      </c>
      <c r="B1514" s="7" t="str">
        <f>HYPERLINK("https://twitter.com/noecamr","@noecamr")</f>
        <v>@noecamr</v>
      </c>
      <c r="C1514" s="8" t="s">
        <v>4865</v>
      </c>
      <c r="D1514" s="9" t="s">
        <v>4866</v>
      </c>
      <c r="E1514" s="10" t="str">
        <f>HYPERLINK("https://twitter.com/noecamr/status/1062727050702872577","1062727050702872577")</f>
        <v>1062727050702872577</v>
      </c>
      <c r="F1514" s="11" t="s">
        <v>4867</v>
      </c>
      <c r="G1514" s="12"/>
      <c r="H1514" s="12"/>
      <c r="I1514" s="13">
        <v>0</v>
      </c>
      <c r="J1514" s="13">
        <v>0</v>
      </c>
      <c r="K1514" s="14" t="str">
        <f t="shared" ref="K1514:K1515" si="410">HYPERLINK("http://twitter.com/download/iphone","Twitter for iPhone")</f>
        <v>Twitter for iPhone</v>
      </c>
      <c r="L1514" s="13">
        <v>77</v>
      </c>
      <c r="M1514" s="13">
        <v>156</v>
      </c>
      <c r="N1514" s="13">
        <v>0</v>
      </c>
      <c r="O1514" s="15"/>
      <c r="P1514" s="6">
        <v>41043.849328703705</v>
      </c>
      <c r="Q1514" s="16" t="s">
        <v>4869</v>
      </c>
      <c r="R1514" s="17" t="s">
        <v>4870</v>
      </c>
      <c r="S1514" s="12"/>
      <c r="T1514" s="12"/>
      <c r="U1514" s="10" t="str">
        <f>HYPERLINK("https://pbs.twimg.com/profile_images/1059239157699174401/UqyYhJ1K.jpg","View")</f>
        <v>View</v>
      </c>
    </row>
    <row r="1515" spans="1:21" ht="91.8">
      <c r="A1515" s="6">
        <v>43418.676875000005</v>
      </c>
      <c r="B1515" s="7" t="str">
        <f>HYPERLINK("https://twitter.com/soymarcosalonso","@soymarcosalonso")</f>
        <v>@soymarcosalonso</v>
      </c>
      <c r="C1515" s="8" t="s">
        <v>4099</v>
      </c>
      <c r="D1515" s="9" t="s">
        <v>4871</v>
      </c>
      <c r="E1515" s="10" t="str">
        <f>HYPERLINK("https://twitter.com/soymarcosalonso/status/1062725516380332032","1062725516380332032")</f>
        <v>1062725516380332032</v>
      </c>
      <c r="F1515" s="11" t="s">
        <v>4872</v>
      </c>
      <c r="G1515" s="11" t="s">
        <v>4873</v>
      </c>
      <c r="H1515" s="12"/>
      <c r="I1515" s="13">
        <v>2</v>
      </c>
      <c r="J1515" s="13">
        <v>3</v>
      </c>
      <c r="K1515" s="14" t="str">
        <f t="shared" si="410"/>
        <v>Twitter for iPhone</v>
      </c>
      <c r="L1515" s="13">
        <v>422</v>
      </c>
      <c r="M1515" s="13">
        <v>172</v>
      </c>
      <c r="N1515" s="13">
        <v>0</v>
      </c>
      <c r="O1515" s="15"/>
      <c r="P1515" s="6">
        <v>42210.619710648149</v>
      </c>
      <c r="Q1515" s="16" t="s">
        <v>4103</v>
      </c>
      <c r="R1515" s="17" t="s">
        <v>4104</v>
      </c>
      <c r="S1515" s="12"/>
      <c r="T1515" s="12"/>
      <c r="U1515" s="10" t="str">
        <f>HYPERLINK("https://pbs.twimg.com/profile_images/1040590721735172096/GHpzNIja.jpg","View")</f>
        <v>View</v>
      </c>
    </row>
    <row r="1516" spans="1:21" ht="61.2">
      <c r="A1516" s="6">
        <v>43418.671099537038</v>
      </c>
      <c r="B1516" s="7" t="str">
        <f>HYPERLINK("https://twitter.com/Pozo_1969","@Pozo_1969")</f>
        <v>@Pozo_1969</v>
      </c>
      <c r="C1516" s="8" t="s">
        <v>556</v>
      </c>
      <c r="D1516" s="9" t="s">
        <v>4875</v>
      </c>
      <c r="E1516" s="10" t="str">
        <f>HYPERLINK("https://twitter.com/Pozo_1969/status/1062723423837868035","1062723423837868035")</f>
        <v>1062723423837868035</v>
      </c>
      <c r="F1516" s="12"/>
      <c r="G1516" s="11" t="s">
        <v>4876</v>
      </c>
      <c r="H1516" s="12"/>
      <c r="I1516" s="13">
        <v>63</v>
      </c>
      <c r="J1516" s="13">
        <v>97</v>
      </c>
      <c r="K1516" s="14" t="str">
        <f>HYPERLINK("http://twitter.com/download/android","Twitter for Android")</f>
        <v>Twitter for Android</v>
      </c>
      <c r="L1516" s="13">
        <v>2102</v>
      </c>
      <c r="M1516" s="13">
        <v>2137</v>
      </c>
      <c r="N1516" s="13">
        <v>40</v>
      </c>
      <c r="O1516" s="15"/>
      <c r="P1516" s="6">
        <v>40815.401643518519</v>
      </c>
      <c r="Q1516" s="12"/>
      <c r="R1516" s="17" t="s">
        <v>558</v>
      </c>
      <c r="S1516" s="12"/>
      <c r="T1516" s="12"/>
      <c r="U1516" s="10" t="str">
        <f>HYPERLINK("https://pbs.twimg.com/profile_images/844561592603824128/WgXnX2H3.jpg","View")</f>
        <v>View</v>
      </c>
    </row>
    <row r="1517" spans="1:21" ht="51">
      <c r="A1517" s="6">
        <v>43418.669247685189</v>
      </c>
      <c r="B1517" s="7" t="str">
        <f>HYPERLINK("https://twitter.com/QuoromWoW","@QuoromWoW")</f>
        <v>@QuoromWoW</v>
      </c>
      <c r="C1517" s="8" t="s">
        <v>5462</v>
      </c>
      <c r="D1517" s="9" t="s">
        <v>5463</v>
      </c>
      <c r="E1517" s="10" t="str">
        <f>HYPERLINK("https://twitter.com/QuoromWoW/status/1062722752233250816","1062722752233250816")</f>
        <v>1062722752233250816</v>
      </c>
      <c r="F1517" s="11" t="s">
        <v>5464</v>
      </c>
      <c r="G1517" s="11" t="s">
        <v>5465</v>
      </c>
      <c r="H1517" s="12"/>
      <c r="I1517" s="13">
        <v>0</v>
      </c>
      <c r="J1517" s="13">
        <v>0</v>
      </c>
      <c r="K1517" s="14" t="str">
        <f>HYPERLINK("http://twitter.com","Twitter Web Client")</f>
        <v>Twitter Web Client</v>
      </c>
      <c r="L1517" s="13">
        <v>782</v>
      </c>
      <c r="M1517" s="13">
        <v>900</v>
      </c>
      <c r="N1517" s="13">
        <v>13</v>
      </c>
      <c r="O1517" s="15"/>
      <c r="P1517" s="6">
        <v>42240.871145833335</v>
      </c>
      <c r="Q1517" s="16" t="s">
        <v>5466</v>
      </c>
      <c r="R1517" s="17" t="s">
        <v>5467</v>
      </c>
      <c r="S1517" s="11" t="s">
        <v>5468</v>
      </c>
      <c r="T1517" s="12"/>
      <c r="U1517" s="10" t="str">
        <f>HYPERLINK("https://pbs.twimg.com/profile_images/1059546178143039488/vuiCaC2M.jpg","View")</f>
        <v>View</v>
      </c>
    </row>
    <row r="1518" spans="1:21" ht="51">
      <c r="A1518" s="6">
        <v>43418.66805555555</v>
      </c>
      <c r="B1518" s="7" t="str">
        <f>HYPERLINK("https://twitter.com/bitMomentum","@bitMomentum")</f>
        <v>@bitMomentum</v>
      </c>
      <c r="C1518" s="8" t="s">
        <v>368</v>
      </c>
      <c r="D1518" s="9" t="s">
        <v>4880</v>
      </c>
      <c r="E1518" s="10" t="str">
        <f>HYPERLINK("https://twitter.com/bitMomentum/status/1062722319980945408","1062722319980945408")</f>
        <v>1062722319980945408</v>
      </c>
      <c r="F1518" s="12"/>
      <c r="G1518" s="12"/>
      <c r="H1518" s="12"/>
      <c r="I1518" s="13">
        <v>0</v>
      </c>
      <c r="J1518" s="13">
        <v>0</v>
      </c>
      <c r="K1518" s="14" t="str">
        <f>HYPERLINK("http://www.bitmomentum.com","bitMomentum Bot")</f>
        <v>bitMomentum Bot</v>
      </c>
      <c r="L1518" s="13">
        <v>10132</v>
      </c>
      <c r="M1518" s="13">
        <v>1060</v>
      </c>
      <c r="N1518" s="13">
        <v>267</v>
      </c>
      <c r="O1518" s="15"/>
      <c r="P1518" s="6">
        <v>41608.667511574073</v>
      </c>
      <c r="Q1518" s="12"/>
      <c r="R1518" s="17" t="s">
        <v>371</v>
      </c>
      <c r="S1518" s="11" t="s">
        <v>372</v>
      </c>
      <c r="T1518" s="12"/>
      <c r="U1518" s="10" t="str">
        <f>HYPERLINK("https://pbs.twimg.com/profile_images/378800000862185241/20ij2H3u.png","View")</f>
        <v>View</v>
      </c>
    </row>
    <row r="1519" spans="1:21" ht="51">
      <c r="A1519" s="6">
        <v>43418.668032407411</v>
      </c>
      <c r="B1519" s="7" t="str">
        <f>HYPERLINK("https://twitter.com/RaPiqFu","@RaPiqFu")</f>
        <v>@RaPiqFu</v>
      </c>
      <c r="C1519" s="8" t="s">
        <v>1029</v>
      </c>
      <c r="D1519" s="9" t="s">
        <v>4881</v>
      </c>
      <c r="E1519" s="10" t="str">
        <f>HYPERLINK("https://twitter.com/RaPiqFu/status/1062722315039981568","1062722315039981568")</f>
        <v>1062722315039981568</v>
      </c>
      <c r="F1519" s="12"/>
      <c r="G1519" s="12"/>
      <c r="H1519" s="12"/>
      <c r="I1519" s="13">
        <v>0</v>
      </c>
      <c r="J1519" s="13">
        <v>2</v>
      </c>
      <c r="K1519" s="14" t="str">
        <f>HYPERLINK("http://twitter.com/download/android","Twitter for Android")</f>
        <v>Twitter for Android</v>
      </c>
      <c r="L1519" s="13">
        <v>1578</v>
      </c>
      <c r="M1519" s="13">
        <v>808</v>
      </c>
      <c r="N1519" s="13">
        <v>21</v>
      </c>
      <c r="O1519" s="15"/>
      <c r="P1519" s="6">
        <v>40595.905127314814</v>
      </c>
      <c r="Q1519" s="16" t="s">
        <v>953</v>
      </c>
      <c r="R1519" s="17" t="s">
        <v>1031</v>
      </c>
      <c r="S1519" s="12"/>
      <c r="T1519" s="12"/>
      <c r="U1519" s="10" t="str">
        <f>HYPERLINK("https://pbs.twimg.com/profile_images/1059362479975923713/VEYq9v5X.jpg","View")</f>
        <v>View</v>
      </c>
    </row>
    <row r="1520" spans="1:21" ht="61.2">
      <c r="A1520" s="6">
        <v>43418.667511574073</v>
      </c>
      <c r="B1520" s="7" t="str">
        <f>HYPERLINK("https://twitter.com/Vox_Murcia","@Vox_Murcia")</f>
        <v>@Vox_Murcia</v>
      </c>
      <c r="C1520" s="8" t="s">
        <v>3374</v>
      </c>
      <c r="D1520" s="9" t="s">
        <v>4882</v>
      </c>
      <c r="E1520" s="10" t="str">
        <f>HYPERLINK("https://twitter.com/Vox_Murcia/status/1062722125373599750","1062722125373599750")</f>
        <v>1062722125373599750</v>
      </c>
      <c r="F1520" s="11" t="s">
        <v>4883</v>
      </c>
      <c r="G1520" s="11" t="s">
        <v>4884</v>
      </c>
      <c r="H1520" s="12"/>
      <c r="I1520" s="13">
        <v>19</v>
      </c>
      <c r="J1520" s="13">
        <v>31</v>
      </c>
      <c r="K1520" s="14" t="str">
        <f>HYPERLINK("http://twitter.com","Twitter Web Client")</f>
        <v>Twitter Web Client</v>
      </c>
      <c r="L1520" s="13">
        <v>3081</v>
      </c>
      <c r="M1520" s="13">
        <v>3585</v>
      </c>
      <c r="N1520" s="13">
        <v>45</v>
      </c>
      <c r="O1520" s="15"/>
      <c r="P1520" s="6">
        <v>41706.990370370375</v>
      </c>
      <c r="Q1520" s="16" t="s">
        <v>3376</v>
      </c>
      <c r="R1520" s="17" t="s">
        <v>3377</v>
      </c>
      <c r="S1520" s="11" t="s">
        <v>187</v>
      </c>
      <c r="T1520" s="12"/>
      <c r="U1520" s="10" t="str">
        <f>HYPERLINK("https://pbs.twimg.com/profile_images/1007020887571419136/2qcNDfwR.jpg","View")</f>
        <v>View</v>
      </c>
    </row>
    <row r="1521" spans="1:21" ht="51">
      <c r="A1521" s="6">
        <v>43418.667361111111</v>
      </c>
      <c r="B1521" s="7" t="str">
        <f>HYPERLINK("https://twitter.com/bitMomentum","@bitMomentum")</f>
        <v>@bitMomentum</v>
      </c>
      <c r="C1521" s="8" t="s">
        <v>368</v>
      </c>
      <c r="D1521" s="9" t="s">
        <v>4886</v>
      </c>
      <c r="E1521" s="10" t="str">
        <f>HYPERLINK("https://twitter.com/bitMomentum/status/1062722068100329472","1062722068100329472")</f>
        <v>1062722068100329472</v>
      </c>
      <c r="F1521" s="12"/>
      <c r="G1521" s="12"/>
      <c r="H1521" s="12"/>
      <c r="I1521" s="13">
        <v>0</v>
      </c>
      <c r="J1521" s="13">
        <v>1</v>
      </c>
      <c r="K1521" s="14" t="str">
        <f>HYPERLINK("http://www.bitmomentum.com","bitMomentum Bot")</f>
        <v>bitMomentum Bot</v>
      </c>
      <c r="L1521" s="13">
        <v>10132</v>
      </c>
      <c r="M1521" s="13">
        <v>1060</v>
      </c>
      <c r="N1521" s="13">
        <v>267</v>
      </c>
      <c r="O1521" s="15"/>
      <c r="P1521" s="6">
        <v>41608.667511574073</v>
      </c>
      <c r="Q1521" s="12"/>
      <c r="R1521" s="17" t="s">
        <v>371</v>
      </c>
      <c r="S1521" s="11" t="s">
        <v>372</v>
      </c>
      <c r="T1521" s="12"/>
      <c r="U1521" s="10" t="str">
        <f>HYPERLINK("https://pbs.twimg.com/profile_images/378800000862185241/20ij2H3u.png","View")</f>
        <v>View</v>
      </c>
    </row>
    <row r="1522" spans="1:21" ht="51">
      <c r="A1522" s="6">
        <v>43418.661956018521</v>
      </c>
      <c r="B1522" s="7" t="str">
        <f>HYPERLINK("https://twitter.com/JavierCarmonaR2","@JavierCarmonaR2")</f>
        <v>@JavierCarmonaR2</v>
      </c>
      <c r="C1522" s="8" t="s">
        <v>992</v>
      </c>
      <c r="D1522" s="9" t="s">
        <v>4887</v>
      </c>
      <c r="E1522" s="10" t="str">
        <f>HYPERLINK("https://twitter.com/JavierCarmonaR2/status/1062720111419609088","1062720111419609088")</f>
        <v>1062720111419609088</v>
      </c>
      <c r="F1522" s="11" t="s">
        <v>4888</v>
      </c>
      <c r="G1522" s="12"/>
      <c r="H1522" s="12"/>
      <c r="I1522" s="13">
        <v>2</v>
      </c>
      <c r="J1522" s="13">
        <v>0</v>
      </c>
      <c r="K1522" s="14" t="str">
        <f>HYPERLINK("http://twitter.com/download/android","Twitter for Android")</f>
        <v>Twitter for Android</v>
      </c>
      <c r="L1522" s="13">
        <v>62</v>
      </c>
      <c r="M1522" s="13">
        <v>269</v>
      </c>
      <c r="N1522" s="13">
        <v>0</v>
      </c>
      <c r="O1522" s="15"/>
      <c r="P1522" s="6">
        <v>43317.739965277782</v>
      </c>
      <c r="Q1522" s="12"/>
      <c r="R1522" s="17" t="s">
        <v>994</v>
      </c>
      <c r="S1522" s="12"/>
      <c r="T1522" s="12"/>
      <c r="U1522" s="10" t="str">
        <f>HYPERLINK("https://pbs.twimg.com/profile_images/1026135622451384323/OC00UVhP.jpg","View")</f>
        <v>View</v>
      </c>
    </row>
    <row r="1523" spans="1:21" ht="40.799999999999997">
      <c r="A1523" s="6">
        <v>43418.657060185185</v>
      </c>
      <c r="B1523" s="7" t="str">
        <f>HYPERLINK("https://twitter.com/martnez_s","@martnez_s")</f>
        <v>@martnez_s</v>
      </c>
      <c r="C1523" s="8" t="s">
        <v>4889</v>
      </c>
      <c r="D1523" s="9" t="s">
        <v>4890</v>
      </c>
      <c r="E1523" s="10" t="str">
        <f>HYPERLINK("https://twitter.com/martnez_s/status/1062718336859926528","1062718336859926528")</f>
        <v>1062718336859926528</v>
      </c>
      <c r="F1523" s="12"/>
      <c r="G1523" s="11" t="s">
        <v>4891</v>
      </c>
      <c r="H1523" s="12"/>
      <c r="I1523" s="13">
        <v>6</v>
      </c>
      <c r="J1523" s="13">
        <v>8</v>
      </c>
      <c r="K1523" s="14" t="str">
        <f>HYPERLINK("http://twitter.com/download/iphone","Twitter for iPhone")</f>
        <v>Twitter for iPhone</v>
      </c>
      <c r="L1523" s="13">
        <v>3283</v>
      </c>
      <c r="M1523" s="13">
        <v>1538</v>
      </c>
      <c r="N1523" s="13">
        <v>12</v>
      </c>
      <c r="O1523" s="15"/>
      <c r="P1523" s="6">
        <v>40877.981400462959</v>
      </c>
      <c r="Q1523" s="16" t="s">
        <v>4892</v>
      </c>
      <c r="R1523" s="17" t="s">
        <v>4893</v>
      </c>
      <c r="S1523" s="12"/>
      <c r="T1523" s="12"/>
      <c r="U1523" s="10" t="str">
        <f>HYPERLINK("https://pbs.twimg.com/profile_images/1060261342291132422/HSsKFePZ.jpg","View")</f>
        <v>View</v>
      </c>
    </row>
    <row r="1524" spans="1:21" ht="30.6">
      <c r="A1524" s="6">
        <v>43418.65425925926</v>
      </c>
      <c r="B1524" s="7" t="str">
        <f>HYPERLINK("https://twitter.com/TrollRater","@TrollRater")</f>
        <v>@TrollRater</v>
      </c>
      <c r="C1524" s="8" t="s">
        <v>4894</v>
      </c>
      <c r="D1524" s="9" t="s">
        <v>4895</v>
      </c>
      <c r="E1524" s="10" t="str">
        <f>HYPERLINK("https://twitter.com/TrollRater/status/1062717321637068802","1062717321637068802")</f>
        <v>1062717321637068802</v>
      </c>
      <c r="F1524" s="16" t="s">
        <v>4896</v>
      </c>
      <c r="G1524" s="12"/>
      <c r="H1524" s="12"/>
      <c r="I1524" s="13">
        <v>0</v>
      </c>
      <c r="J1524" s="13">
        <v>0</v>
      </c>
      <c r="K1524" s="14" t="str">
        <f>HYPERLINK("http://twitter.com/download/android","Twitter for Android")</f>
        <v>Twitter for Android</v>
      </c>
      <c r="L1524" s="13">
        <v>419</v>
      </c>
      <c r="M1524" s="13">
        <v>320</v>
      </c>
      <c r="N1524" s="13">
        <v>19</v>
      </c>
      <c r="O1524" s="15"/>
      <c r="P1524" s="6">
        <v>42410.690972222219</v>
      </c>
      <c r="Q1524" s="16" t="s">
        <v>4897</v>
      </c>
      <c r="R1524" s="17" t="s">
        <v>4898</v>
      </c>
      <c r="S1524" s="12"/>
      <c r="T1524" s="12"/>
      <c r="U1524" s="10" t="str">
        <f>HYPERLINK("https://pbs.twimg.com/profile_images/1052089027904659456/xuYshiAy.jpg","View")</f>
        <v>View</v>
      </c>
    </row>
    <row r="1525" spans="1:21" ht="40.799999999999997">
      <c r="A1525" s="6">
        <v>43418.651979166665</v>
      </c>
      <c r="B1525" s="7" t="str">
        <f>HYPERLINK("https://twitter.com/DFD_74","@DFD_74")</f>
        <v>@DFD_74</v>
      </c>
      <c r="C1525" s="8" t="s">
        <v>5469</v>
      </c>
      <c r="D1525" s="9" t="s">
        <v>5470</v>
      </c>
      <c r="E1525" s="10" t="str">
        <f>HYPERLINK("https://twitter.com/DFD_74/status/1062716494029570049","1062716494029570049")</f>
        <v>1062716494029570049</v>
      </c>
      <c r="F1525" s="12"/>
      <c r="G1525" s="12"/>
      <c r="H1525" s="12"/>
      <c r="I1525" s="13">
        <v>0</v>
      </c>
      <c r="J1525" s="13">
        <v>0</v>
      </c>
      <c r="K1525" s="14" t="str">
        <f>HYPERLINK("http://twitter.com/download/iphone","Twitter for iPhone")</f>
        <v>Twitter for iPhone</v>
      </c>
      <c r="L1525" s="13">
        <v>438</v>
      </c>
      <c r="M1525" s="13">
        <v>292</v>
      </c>
      <c r="N1525" s="13">
        <v>1</v>
      </c>
      <c r="O1525" s="15"/>
      <c r="P1525" s="6">
        <v>42993.494652777779</v>
      </c>
      <c r="Q1525" s="12"/>
      <c r="R1525" s="17" t="s">
        <v>5471</v>
      </c>
      <c r="S1525" s="12"/>
      <c r="T1525" s="12"/>
      <c r="U1525" s="10" t="str">
        <f>HYPERLINK("https://pbs.twimg.com/profile_images/1051195448940273664/S2bLN6Z0.jpg","View")</f>
        <v>View</v>
      </c>
    </row>
    <row r="1526" spans="1:21" ht="102">
      <c r="A1526" s="6">
        <v>43418.651539351849</v>
      </c>
      <c r="B1526" s="7" t="str">
        <f>HYPERLINK("https://twitter.com/Aperopr","@Aperopr")</f>
        <v>@Aperopr</v>
      </c>
      <c r="C1526" s="8" t="s">
        <v>4899</v>
      </c>
      <c r="D1526" s="9" t="s">
        <v>4900</v>
      </c>
      <c r="E1526" s="10" t="str">
        <f>HYPERLINK("https://twitter.com/Aperopr/status/1062716336466407425","1062716336466407425")</f>
        <v>1062716336466407425</v>
      </c>
      <c r="F1526" s="16" t="s">
        <v>4901</v>
      </c>
      <c r="G1526" s="12"/>
      <c r="H1526" s="12"/>
      <c r="I1526" s="13">
        <v>0</v>
      </c>
      <c r="J1526" s="13">
        <v>0</v>
      </c>
      <c r="K1526" s="14" t="str">
        <f>HYPERLINK("http://twitter.com/download/android","Twitter for Android")</f>
        <v>Twitter for Android</v>
      </c>
      <c r="L1526" s="13">
        <v>156</v>
      </c>
      <c r="M1526" s="13">
        <v>378</v>
      </c>
      <c r="N1526" s="13">
        <v>4</v>
      </c>
      <c r="O1526" s="15"/>
      <c r="P1526" s="6">
        <v>43101.507731481484</v>
      </c>
      <c r="Q1526" s="16" t="s">
        <v>4902</v>
      </c>
      <c r="R1526" s="17" t="s">
        <v>4904</v>
      </c>
      <c r="S1526" s="12"/>
      <c r="T1526" s="12"/>
      <c r="U1526" s="10" t="str">
        <f>HYPERLINK("https://pbs.twimg.com/profile_images/1014884649401749509/AZGuQys_.jpg","View")</f>
        <v>View</v>
      </c>
    </row>
    <row r="1527" spans="1:21" ht="91.8">
      <c r="A1527" s="6">
        <v>43418.638518518521</v>
      </c>
      <c r="B1527" s="7" t="str">
        <f>HYPERLINK("https://twitter.com/Perez_Jon","@Perez_Jon")</f>
        <v>@Perez_Jon</v>
      </c>
      <c r="C1527" s="8" t="s">
        <v>3308</v>
      </c>
      <c r="D1527" s="9" t="s">
        <v>4910</v>
      </c>
      <c r="E1527" s="10" t="str">
        <f>HYPERLINK("https://twitter.com/Perez_Jon/status/1062711616603611138","1062711616603611138")</f>
        <v>1062711616603611138</v>
      </c>
      <c r="F1527" s="16" t="s">
        <v>4901</v>
      </c>
      <c r="G1527" s="12"/>
      <c r="H1527" s="12"/>
      <c r="I1527" s="13">
        <v>0</v>
      </c>
      <c r="J1527" s="13">
        <v>0</v>
      </c>
      <c r="K1527" s="14" t="str">
        <f t="shared" ref="K1527:K1528" si="411">HYPERLINK("http://twitter.com/download/iphone","Twitter for iPhone")</f>
        <v>Twitter for iPhone</v>
      </c>
      <c r="L1527" s="13">
        <v>223</v>
      </c>
      <c r="M1527" s="13">
        <v>369</v>
      </c>
      <c r="N1527" s="13">
        <v>7</v>
      </c>
      <c r="O1527" s="15"/>
      <c r="P1527" s="6">
        <v>40536.447199074071</v>
      </c>
      <c r="Q1527" s="16" t="s">
        <v>4911</v>
      </c>
      <c r="R1527" s="17" t="s">
        <v>4912</v>
      </c>
      <c r="S1527" s="12"/>
      <c r="T1527" s="12"/>
      <c r="U1527" s="10" t="str">
        <f>HYPERLINK("https://pbs.twimg.com/profile_images/1053323190032912386/Zed-d7VU.jpg","View")</f>
        <v>View</v>
      </c>
    </row>
    <row r="1528" spans="1:21" ht="51">
      <c r="A1528" s="6">
        <v>43418.636331018519</v>
      </c>
      <c r="B1528" s="7" t="str">
        <f>HYPERLINK("https://twitter.com/Stopfalsasdenun","@Stopfalsasdenun")</f>
        <v>@Stopfalsasdenun</v>
      </c>
      <c r="C1528" s="8" t="s">
        <v>4803</v>
      </c>
      <c r="D1528" s="9" t="s">
        <v>4913</v>
      </c>
      <c r="E1528" s="10" t="str">
        <f>HYPERLINK("https://twitter.com/Stopfalsasdenun/status/1062710824521949184","1062710824521949184")</f>
        <v>1062710824521949184</v>
      </c>
      <c r="F1528" s="12"/>
      <c r="G1528" s="11" t="s">
        <v>4914</v>
      </c>
      <c r="H1528" s="12"/>
      <c r="I1528" s="13">
        <v>188</v>
      </c>
      <c r="J1528" s="13">
        <v>283</v>
      </c>
      <c r="K1528" s="14" t="str">
        <f t="shared" si="411"/>
        <v>Twitter for iPhone</v>
      </c>
      <c r="L1528" s="13">
        <v>2612</v>
      </c>
      <c r="M1528" s="13">
        <v>434</v>
      </c>
      <c r="N1528" s="13">
        <v>19</v>
      </c>
      <c r="O1528" s="15"/>
      <c r="P1528" s="6">
        <v>42992.51461805556</v>
      </c>
      <c r="Q1528" s="12"/>
      <c r="R1528" s="17" t="s">
        <v>4806</v>
      </c>
      <c r="S1528" s="12"/>
      <c r="T1528" s="12"/>
      <c r="U1528" s="10" t="str">
        <f>HYPERLINK("https://pbs.twimg.com/profile_images/929014252349853696/Ij7McdVI.jpg","View")</f>
        <v>View</v>
      </c>
    </row>
    <row r="1529" spans="1:21" ht="51">
      <c r="A1529" s="6">
        <v>43418.633298611108</v>
      </c>
      <c r="B1529" s="7" t="str">
        <f>HYPERLINK("https://twitter.com/AmoedoCom","@AmoedoCom")</f>
        <v>@AmoedoCom</v>
      </c>
      <c r="C1529" s="8" t="s">
        <v>5472</v>
      </c>
      <c r="D1529" s="9" t="s">
        <v>5473</v>
      </c>
      <c r="E1529" s="10" t="str">
        <f>HYPERLINK("https://twitter.com/AmoedoCom/status/1062709726717399040","1062709726717399040")</f>
        <v>1062709726717399040</v>
      </c>
      <c r="F1529" s="11" t="s">
        <v>5474</v>
      </c>
      <c r="G1529" s="12"/>
      <c r="H1529" s="12"/>
      <c r="I1529" s="13">
        <v>328</v>
      </c>
      <c r="J1529" s="13">
        <v>248</v>
      </c>
      <c r="K1529" s="14" t="str">
        <f t="shared" ref="K1529:K1530" si="412">HYPERLINK("http://twitter.com/download/android","Twitter for Android")</f>
        <v>Twitter for Android</v>
      </c>
      <c r="L1529" s="13">
        <v>13007</v>
      </c>
      <c r="M1529" s="13">
        <v>12458</v>
      </c>
      <c r="N1529" s="13">
        <v>55</v>
      </c>
      <c r="O1529" s="15"/>
      <c r="P1529" s="6">
        <v>41335.113657407404</v>
      </c>
      <c r="Q1529" s="16" t="s">
        <v>5475</v>
      </c>
      <c r="R1529" s="17" t="s">
        <v>5476</v>
      </c>
      <c r="S1529" s="12"/>
      <c r="T1529" s="12"/>
      <c r="U1529" s="10" t="str">
        <f>HYPERLINK("https://pbs.twimg.com/profile_images/999732086788575238/-cMlA9Ib.jpg","View")</f>
        <v>View</v>
      </c>
    </row>
    <row r="1530" spans="1:21" ht="20.399999999999999">
      <c r="A1530" s="6">
        <v>43418.626886574071</v>
      </c>
      <c r="B1530" s="7" t="str">
        <f>HYPERLINK("https://twitter.com/lunadebenidorm","@lunadebenidorm")</f>
        <v>@lunadebenidorm</v>
      </c>
      <c r="C1530" s="8" t="s">
        <v>106</v>
      </c>
      <c r="D1530" s="9" t="s">
        <v>4915</v>
      </c>
      <c r="E1530" s="10" t="str">
        <f>HYPERLINK("https://twitter.com/lunadebenidorm/status/1062707402334711809","1062707402334711809")</f>
        <v>1062707402334711809</v>
      </c>
      <c r="F1530" s="12"/>
      <c r="G1530" s="11" t="s">
        <v>4916</v>
      </c>
      <c r="H1530" s="12"/>
      <c r="I1530" s="13">
        <v>0</v>
      </c>
      <c r="J1530" s="13">
        <v>0</v>
      </c>
      <c r="K1530" s="14" t="str">
        <f t="shared" si="412"/>
        <v>Twitter for Android</v>
      </c>
      <c r="L1530" s="13">
        <v>3991</v>
      </c>
      <c r="M1530" s="13">
        <v>3978</v>
      </c>
      <c r="N1530" s="13">
        <v>79</v>
      </c>
      <c r="O1530" s="15"/>
      <c r="P1530" s="6">
        <v>41461.81186342593</v>
      </c>
      <c r="Q1530" s="12"/>
      <c r="R1530" s="17" t="s">
        <v>108</v>
      </c>
      <c r="S1530" s="12"/>
      <c r="T1530" s="12"/>
      <c r="U1530" s="10" t="str">
        <f>HYPERLINK("https://pbs.twimg.com/profile_images/1061229593758257153/rePCQt08.jpg","View")</f>
        <v>View</v>
      </c>
    </row>
    <row r="1531" spans="1:21" ht="51">
      <c r="A1531" s="6">
        <v>43418.626388888893</v>
      </c>
      <c r="B1531" s="7" t="str">
        <f t="shared" ref="B1531:B1532" si="413">HYPERLINK("https://twitter.com/bitMomentum","@bitMomentum")</f>
        <v>@bitMomentum</v>
      </c>
      <c r="C1531" s="8" t="s">
        <v>368</v>
      </c>
      <c r="D1531" s="9" t="s">
        <v>4917</v>
      </c>
      <c r="E1531" s="10" t="str">
        <f>HYPERLINK("https://twitter.com/bitMomentum/status/1062707220524290048","1062707220524290048")</f>
        <v>1062707220524290048</v>
      </c>
      <c r="F1531" s="12"/>
      <c r="G1531" s="12"/>
      <c r="H1531" s="12"/>
      <c r="I1531" s="13">
        <v>0</v>
      </c>
      <c r="J1531" s="13">
        <v>0</v>
      </c>
      <c r="K1531" s="14" t="str">
        <f t="shared" ref="K1531:K1532" si="414">HYPERLINK("http://www.bitmomentum.com","bitMomentum Bot")</f>
        <v>bitMomentum Bot</v>
      </c>
      <c r="L1531" s="13">
        <v>10132</v>
      </c>
      <c r="M1531" s="13">
        <v>1060</v>
      </c>
      <c r="N1531" s="13">
        <v>267</v>
      </c>
      <c r="O1531" s="15"/>
      <c r="P1531" s="6">
        <v>41608.667511574073</v>
      </c>
      <c r="Q1531" s="12"/>
      <c r="R1531" s="17" t="s">
        <v>371</v>
      </c>
      <c r="S1531" s="11" t="s">
        <v>372</v>
      </c>
      <c r="T1531" s="12"/>
      <c r="U1531" s="10" t="str">
        <f t="shared" ref="U1531:U1532" si="415">HYPERLINK("https://pbs.twimg.com/profile_images/378800000862185241/20ij2H3u.png","View")</f>
        <v>View</v>
      </c>
    </row>
    <row r="1532" spans="1:21" ht="51">
      <c r="A1532" s="6">
        <v>43418.625694444447</v>
      </c>
      <c r="B1532" s="7" t="str">
        <f t="shared" si="413"/>
        <v>@bitMomentum</v>
      </c>
      <c r="C1532" s="8" t="s">
        <v>368</v>
      </c>
      <c r="D1532" s="9" t="s">
        <v>4918</v>
      </c>
      <c r="E1532" s="10" t="str">
        <f>HYPERLINK("https://twitter.com/bitMomentum/status/1062706968845017088","1062706968845017088")</f>
        <v>1062706968845017088</v>
      </c>
      <c r="F1532" s="12"/>
      <c r="G1532" s="12"/>
      <c r="H1532" s="12"/>
      <c r="I1532" s="13">
        <v>0</v>
      </c>
      <c r="J1532" s="13">
        <v>1</v>
      </c>
      <c r="K1532" s="14" t="str">
        <f t="shared" si="414"/>
        <v>bitMomentum Bot</v>
      </c>
      <c r="L1532" s="13">
        <v>10132</v>
      </c>
      <c r="M1532" s="13">
        <v>1060</v>
      </c>
      <c r="N1532" s="13">
        <v>267</v>
      </c>
      <c r="O1532" s="15"/>
      <c r="P1532" s="6">
        <v>41608.667511574073</v>
      </c>
      <c r="Q1532" s="12"/>
      <c r="R1532" s="17" t="s">
        <v>371</v>
      </c>
      <c r="S1532" s="11" t="s">
        <v>372</v>
      </c>
      <c r="T1532" s="12"/>
      <c r="U1532" s="10" t="str">
        <f t="shared" si="415"/>
        <v>View</v>
      </c>
    </row>
    <row r="1533" spans="1:21" ht="91.8">
      <c r="A1533" s="6">
        <v>43418.624930555554</v>
      </c>
      <c r="B1533" s="7" t="str">
        <f>HYPERLINK("https://twitter.com/CastilianWoman","@CastilianWoman")</f>
        <v>@CastilianWoman</v>
      </c>
      <c r="C1533" s="8" t="s">
        <v>4577</v>
      </c>
      <c r="D1533" s="9" t="s">
        <v>4919</v>
      </c>
      <c r="E1533" s="10" t="str">
        <f>HYPERLINK("https://twitter.com/CastilianWoman/status/1062706695439351809","1062706695439351809")</f>
        <v>1062706695439351809</v>
      </c>
      <c r="F1533" s="16" t="s">
        <v>4920</v>
      </c>
      <c r="G1533" s="12"/>
      <c r="H1533" s="12"/>
      <c r="I1533" s="13">
        <v>2</v>
      </c>
      <c r="J1533" s="13">
        <v>4</v>
      </c>
      <c r="K1533" s="14" t="str">
        <f>HYPERLINK("http://twitter.com/#!/download/ipad","Twitter for iPad")</f>
        <v>Twitter for iPad</v>
      </c>
      <c r="L1533" s="13">
        <v>2309</v>
      </c>
      <c r="M1533" s="13">
        <v>3902</v>
      </c>
      <c r="N1533" s="13">
        <v>23</v>
      </c>
      <c r="O1533" s="15"/>
      <c r="P1533" s="6">
        <v>42595.671261574069</v>
      </c>
      <c r="Q1533" s="16" t="s">
        <v>4579</v>
      </c>
      <c r="R1533" s="17" t="s">
        <v>4580</v>
      </c>
      <c r="S1533" s="12"/>
      <c r="T1533" s="12"/>
      <c r="U1533" s="10" t="str">
        <f>HYPERLINK("https://pbs.twimg.com/profile_images/927908445357002752/7Zlsd7X9.jpg","View")</f>
        <v>View</v>
      </c>
    </row>
    <row r="1534" spans="1:21" ht="13.2">
      <c r="A1534" s="6">
        <v>43418.611666666664</v>
      </c>
      <c r="B1534" s="7" t="str">
        <f>HYPERLINK("https://twitter.com/rolldeepm","@rolldeepm")</f>
        <v>@rolldeepm</v>
      </c>
      <c r="C1534" s="8" t="s">
        <v>338</v>
      </c>
      <c r="D1534" s="9" t="s">
        <v>4921</v>
      </c>
      <c r="E1534" s="10" t="str">
        <f>HYPERLINK("https://twitter.com/rolldeepm/status/1062701884706828288","1062701884706828288")</f>
        <v>1062701884706828288</v>
      </c>
      <c r="F1534" s="12"/>
      <c r="G1534" s="12"/>
      <c r="H1534" s="12"/>
      <c r="I1534" s="13">
        <v>0</v>
      </c>
      <c r="J1534" s="13">
        <v>0</v>
      </c>
      <c r="K1534" s="14" t="str">
        <f t="shared" ref="K1534:K1538" si="416">HYPERLINK("http://twitter.com/download/android","Twitter for Android")</f>
        <v>Twitter for Android</v>
      </c>
      <c r="L1534" s="13">
        <v>232</v>
      </c>
      <c r="M1534" s="13">
        <v>112</v>
      </c>
      <c r="N1534" s="13">
        <v>9</v>
      </c>
      <c r="O1534" s="15"/>
      <c r="P1534" s="6">
        <v>42092.44666666667</v>
      </c>
      <c r="Q1534" s="16" t="s">
        <v>340</v>
      </c>
      <c r="R1534" s="17" t="s">
        <v>341</v>
      </c>
      <c r="S1534" s="11" t="s">
        <v>342</v>
      </c>
      <c r="T1534" s="12"/>
      <c r="U1534" s="10" t="str">
        <f>HYPERLINK("https://pbs.twimg.com/profile_images/1064654493621600257/P4XRru5o.jpg","View")</f>
        <v>View</v>
      </c>
    </row>
    <row r="1535" spans="1:21" ht="102">
      <c r="A1535" s="6">
        <v>43418.608553240745</v>
      </c>
      <c r="B1535" s="7" t="str">
        <f>HYPERLINK("https://twitter.com/Escapadasss","@Escapadasss")</f>
        <v>@Escapadasss</v>
      </c>
      <c r="C1535" s="8" t="s">
        <v>4922</v>
      </c>
      <c r="D1535" s="9" t="s">
        <v>4923</v>
      </c>
      <c r="E1535" s="10" t="str">
        <f>HYPERLINK("https://twitter.com/Escapadasss/status/1062700758393610248","1062700758393610248")</f>
        <v>1062700758393610248</v>
      </c>
      <c r="F1535" s="16" t="s">
        <v>4924</v>
      </c>
      <c r="G1535" s="12"/>
      <c r="H1535" s="12"/>
      <c r="I1535" s="13">
        <v>0</v>
      </c>
      <c r="J1535" s="13">
        <v>0</v>
      </c>
      <c r="K1535" s="14" t="str">
        <f t="shared" si="416"/>
        <v>Twitter for Android</v>
      </c>
      <c r="L1535" s="13">
        <v>155</v>
      </c>
      <c r="M1535" s="13">
        <v>305</v>
      </c>
      <c r="N1535" s="13">
        <v>1</v>
      </c>
      <c r="O1535" s="15"/>
      <c r="P1535" s="6">
        <v>43160.846909722226</v>
      </c>
      <c r="Q1535" s="12"/>
      <c r="R1535" s="17" t="s">
        <v>4925</v>
      </c>
      <c r="S1535" s="12"/>
      <c r="T1535" s="12"/>
      <c r="U1535" s="10" t="str">
        <f>HYPERLINK("https://pbs.twimg.com/profile_images/1042879281947463680/YCkqA0tU.jpg","View")</f>
        <v>View</v>
      </c>
    </row>
    <row r="1536" spans="1:21" ht="40.799999999999997">
      <c r="A1536" s="6">
        <v>43418.608414351853</v>
      </c>
      <c r="B1536" s="7" t="str">
        <f>HYPERLINK("https://twitter.com/radiopolla","@radiopolla")</f>
        <v>@radiopolla</v>
      </c>
      <c r="C1536" s="8" t="s">
        <v>4926</v>
      </c>
      <c r="D1536" s="9" t="s">
        <v>4927</v>
      </c>
      <c r="E1536" s="10" t="str">
        <f>HYPERLINK("https://twitter.com/radiopolla/status/1062700709429366786","1062700709429366786")</f>
        <v>1062700709429366786</v>
      </c>
      <c r="F1536" s="12"/>
      <c r="G1536" s="11" t="s">
        <v>4928</v>
      </c>
      <c r="H1536" s="12"/>
      <c r="I1536" s="13">
        <v>3</v>
      </c>
      <c r="J1536" s="13">
        <v>5</v>
      </c>
      <c r="K1536" s="14" t="str">
        <f t="shared" si="416"/>
        <v>Twitter for Android</v>
      </c>
      <c r="L1536" s="13">
        <v>8717</v>
      </c>
      <c r="M1536" s="13">
        <v>8744</v>
      </c>
      <c r="N1536" s="13">
        <v>11</v>
      </c>
      <c r="O1536" s="15"/>
      <c r="P1536" s="6">
        <v>43148.488182870366</v>
      </c>
      <c r="Q1536" s="12"/>
      <c r="R1536" s="17" t="s">
        <v>4930</v>
      </c>
      <c r="S1536" s="12"/>
      <c r="T1536" s="12"/>
      <c r="U1536" s="10" t="str">
        <f>HYPERLINK("https://pbs.twimg.com/profile_images/1061255198906216449/j4iwKX5_.jpg","View")</f>
        <v>View</v>
      </c>
    </row>
    <row r="1537" spans="1:21" ht="40.799999999999997">
      <c r="A1537" s="6">
        <v>43418.600335648152</v>
      </c>
      <c r="B1537" s="7" t="str">
        <f>HYPERLINK("https://twitter.com/Asanchez777","@Asanchez777")</f>
        <v>@Asanchez777</v>
      </c>
      <c r="C1537" s="8" t="s">
        <v>4473</v>
      </c>
      <c r="D1537" s="9" t="s">
        <v>4474</v>
      </c>
      <c r="E1537" s="10" t="str">
        <f>HYPERLINK("https://twitter.com/Asanchez777/status/1062697780307734528","1062697780307734528")</f>
        <v>1062697780307734528</v>
      </c>
      <c r="F1537" s="16" t="s">
        <v>4477</v>
      </c>
      <c r="G1537" s="12"/>
      <c r="H1537" s="12"/>
      <c r="I1537" s="13">
        <v>3</v>
      </c>
      <c r="J1537" s="13">
        <v>3</v>
      </c>
      <c r="K1537" s="14" t="str">
        <f t="shared" si="416"/>
        <v>Twitter for Android</v>
      </c>
      <c r="L1537" s="13">
        <v>387</v>
      </c>
      <c r="M1537" s="13">
        <v>584</v>
      </c>
      <c r="N1537" s="13">
        <v>5</v>
      </c>
      <c r="O1537" s="15"/>
      <c r="P1537" s="6">
        <v>40811.867881944447</v>
      </c>
      <c r="Q1537" s="16" t="s">
        <v>4480</v>
      </c>
      <c r="R1537" s="17" t="s">
        <v>4481</v>
      </c>
      <c r="S1537" s="11" t="s">
        <v>4482</v>
      </c>
      <c r="T1537" s="12"/>
      <c r="U1537" s="10" t="str">
        <f>HYPERLINK("https://pbs.twimg.com/profile_images/1026565901833961472/pPPWiYkN.jpg","View")</f>
        <v>View</v>
      </c>
    </row>
    <row r="1538" spans="1:21" ht="81.599999999999994">
      <c r="A1538" s="6">
        <v>43418.591481481482</v>
      </c>
      <c r="B1538" s="7" t="str">
        <f>HYPERLINK("https://twitter.com/lunadebenidorm","@lunadebenidorm")</f>
        <v>@lunadebenidorm</v>
      </c>
      <c r="C1538" s="8" t="s">
        <v>106</v>
      </c>
      <c r="D1538" s="9" t="s">
        <v>4931</v>
      </c>
      <c r="E1538" s="10" t="str">
        <f>HYPERLINK("https://twitter.com/lunadebenidorm/status/1062694570926989313","1062694570926989313")</f>
        <v>1062694570926989313</v>
      </c>
      <c r="F1538" s="11" t="s">
        <v>4932</v>
      </c>
      <c r="G1538" s="11" t="s">
        <v>4933</v>
      </c>
      <c r="H1538" s="12"/>
      <c r="I1538" s="13">
        <v>1</v>
      </c>
      <c r="J1538" s="13">
        <v>0</v>
      </c>
      <c r="K1538" s="14" t="str">
        <f t="shared" si="416"/>
        <v>Twitter for Android</v>
      </c>
      <c r="L1538" s="13">
        <v>3991</v>
      </c>
      <c r="M1538" s="13">
        <v>3978</v>
      </c>
      <c r="N1538" s="13">
        <v>79</v>
      </c>
      <c r="O1538" s="15"/>
      <c r="P1538" s="6">
        <v>41461.81186342593</v>
      </c>
      <c r="Q1538" s="12"/>
      <c r="R1538" s="17" t="s">
        <v>108</v>
      </c>
      <c r="S1538" s="12"/>
      <c r="T1538" s="12"/>
      <c r="U1538" s="10" t="str">
        <f>HYPERLINK("https://pbs.twimg.com/profile_images/1061229593758257153/rePCQt08.jpg","View")</f>
        <v>View</v>
      </c>
    </row>
    <row r="1539" spans="1:21" ht="30.6">
      <c r="A1539" s="6">
        <v>43418.590740740736</v>
      </c>
      <c r="B1539" s="7" t="str">
        <f>HYPERLINK("https://twitter.com/FranciscoRamnP3","@FranciscoRamnP3")</f>
        <v>@FranciscoRamnP3</v>
      </c>
      <c r="C1539" s="8" t="s">
        <v>4826</v>
      </c>
      <c r="D1539" s="9" t="s">
        <v>4939</v>
      </c>
      <c r="E1539" s="10" t="str">
        <f>HYPERLINK("https://twitter.com/FranciscoRamnP3/status/1062694301690421248","1062694301690421248")</f>
        <v>1062694301690421248</v>
      </c>
      <c r="F1539" s="12"/>
      <c r="G1539" s="11" t="s">
        <v>4940</v>
      </c>
      <c r="H1539" s="12"/>
      <c r="I1539" s="13">
        <v>1</v>
      </c>
      <c r="J1539" s="13">
        <v>1</v>
      </c>
      <c r="K1539" s="14" t="str">
        <f t="shared" ref="K1539:K1540" si="417">HYPERLINK("http://twitter.com/download/iphone","Twitter for iPhone")</f>
        <v>Twitter for iPhone</v>
      </c>
      <c r="L1539" s="13">
        <v>22</v>
      </c>
      <c r="M1539" s="13">
        <v>57</v>
      </c>
      <c r="N1539" s="13">
        <v>0</v>
      </c>
      <c r="O1539" s="15"/>
      <c r="P1539" s="6">
        <v>43417.568275462967</v>
      </c>
      <c r="Q1539" s="16" t="s">
        <v>1564</v>
      </c>
      <c r="R1539" s="17" t="s">
        <v>4828</v>
      </c>
      <c r="S1539" s="12"/>
      <c r="T1539" s="12"/>
      <c r="U1539" s="10" t="str">
        <f>HYPERLINK("https://pbs.twimg.com/profile_images/1062326068735066115/ImYnzuo5.jpg","View")</f>
        <v>View</v>
      </c>
    </row>
    <row r="1540" spans="1:21" ht="51">
      <c r="A1540" s="6">
        <v>43418.589675925927</v>
      </c>
      <c r="B1540" s="7" t="str">
        <f>HYPERLINK("https://twitter.com/PColombineRM","@PColombineRM")</f>
        <v>@PColombineRM</v>
      </c>
      <c r="C1540" s="8" t="s">
        <v>4941</v>
      </c>
      <c r="D1540" s="9" t="s">
        <v>4942</v>
      </c>
      <c r="E1540" s="10" t="str">
        <f>HYPERLINK("https://twitter.com/PColombineRM/status/1062693918410792961","1062693918410792961")</f>
        <v>1062693918410792961</v>
      </c>
      <c r="F1540" s="12"/>
      <c r="G1540" s="11" t="s">
        <v>4943</v>
      </c>
      <c r="H1540" s="12"/>
      <c r="I1540" s="13">
        <v>23</v>
      </c>
      <c r="J1540" s="13">
        <v>20</v>
      </c>
      <c r="K1540" s="14" t="str">
        <f t="shared" si="417"/>
        <v>Twitter for iPhone</v>
      </c>
      <c r="L1540" s="13">
        <v>1217</v>
      </c>
      <c r="M1540" s="13">
        <v>779</v>
      </c>
      <c r="N1540" s="13">
        <v>25</v>
      </c>
      <c r="O1540" s="15"/>
      <c r="P1540" s="6">
        <v>43229.437060185184</v>
      </c>
      <c r="Q1540" s="16" t="s">
        <v>4944</v>
      </c>
      <c r="R1540" s="17" t="s">
        <v>4945</v>
      </c>
      <c r="S1540" s="12"/>
      <c r="T1540" s="12"/>
      <c r="U1540" s="10" t="str">
        <f>HYPERLINK("https://pbs.twimg.com/profile_images/1002430891132706816/yg0Q-sf0.jpg","View")</f>
        <v>View</v>
      </c>
    </row>
    <row r="1541" spans="1:21" ht="51">
      <c r="A1541" s="6">
        <v>43418.584722222222</v>
      </c>
      <c r="B1541" s="7" t="str">
        <f t="shared" ref="B1541:B1542" si="418">HYPERLINK("https://twitter.com/bitMomentum","@bitMomentum")</f>
        <v>@bitMomentum</v>
      </c>
      <c r="C1541" s="8" t="s">
        <v>368</v>
      </c>
      <c r="D1541" s="9" t="s">
        <v>4946</v>
      </c>
      <c r="E1541" s="10" t="str">
        <f>HYPERLINK("https://twitter.com/bitMomentum/status/1062692120895635456","1062692120895635456")</f>
        <v>1062692120895635456</v>
      </c>
      <c r="F1541" s="12"/>
      <c r="G1541" s="12"/>
      <c r="H1541" s="12"/>
      <c r="I1541" s="13">
        <v>0</v>
      </c>
      <c r="J1541" s="13">
        <v>0</v>
      </c>
      <c r="K1541" s="14" t="str">
        <f t="shared" ref="K1541:K1542" si="419">HYPERLINK("http://www.bitmomentum.com","bitMomentum Bot")</f>
        <v>bitMomentum Bot</v>
      </c>
      <c r="L1541" s="13">
        <v>10132</v>
      </c>
      <c r="M1541" s="13">
        <v>1060</v>
      </c>
      <c r="N1541" s="13">
        <v>267</v>
      </c>
      <c r="O1541" s="15"/>
      <c r="P1541" s="6">
        <v>41608.667511574073</v>
      </c>
      <c r="Q1541" s="12"/>
      <c r="R1541" s="17" t="s">
        <v>371</v>
      </c>
      <c r="S1541" s="11" t="s">
        <v>372</v>
      </c>
      <c r="T1541" s="12"/>
      <c r="U1541" s="10" t="str">
        <f t="shared" ref="U1541:U1542" si="420">HYPERLINK("https://pbs.twimg.com/profile_images/378800000862185241/20ij2H3u.png","View")</f>
        <v>View</v>
      </c>
    </row>
    <row r="1542" spans="1:21" ht="40.799999999999997">
      <c r="A1542" s="6">
        <v>43418.584027777775</v>
      </c>
      <c r="B1542" s="7" t="str">
        <f t="shared" si="418"/>
        <v>@bitMomentum</v>
      </c>
      <c r="C1542" s="8" t="s">
        <v>368</v>
      </c>
      <c r="D1542" s="9" t="s">
        <v>4947</v>
      </c>
      <c r="E1542" s="10" t="str">
        <f>HYPERLINK("https://twitter.com/bitMomentum/status/1062691869401010177","1062691869401010177")</f>
        <v>1062691869401010177</v>
      </c>
      <c r="F1542" s="12"/>
      <c r="G1542" s="12"/>
      <c r="H1542" s="12"/>
      <c r="I1542" s="13">
        <v>0</v>
      </c>
      <c r="J1542" s="13">
        <v>0</v>
      </c>
      <c r="K1542" s="14" t="str">
        <f t="shared" si="419"/>
        <v>bitMomentum Bot</v>
      </c>
      <c r="L1542" s="13">
        <v>10132</v>
      </c>
      <c r="M1542" s="13">
        <v>1060</v>
      </c>
      <c r="N1542" s="13">
        <v>267</v>
      </c>
      <c r="O1542" s="15"/>
      <c r="P1542" s="6">
        <v>41608.667511574073</v>
      </c>
      <c r="Q1542" s="12"/>
      <c r="R1542" s="17" t="s">
        <v>371</v>
      </c>
      <c r="S1542" s="11" t="s">
        <v>372</v>
      </c>
      <c r="T1542" s="12"/>
      <c r="U1542" s="10" t="str">
        <f t="shared" si="420"/>
        <v>View</v>
      </c>
    </row>
    <row r="1543" spans="1:21" ht="61.2">
      <c r="A1543" s="6">
        <v>43418.583171296297</v>
      </c>
      <c r="B1543" s="7" t="str">
        <f>HYPERLINK("https://twitter.com/Santi_ABASCAL","@Santi_ABASCAL")</f>
        <v>@Santi_ABASCAL</v>
      </c>
      <c r="C1543" s="8" t="s">
        <v>182</v>
      </c>
      <c r="D1543" s="9" t="s">
        <v>5477</v>
      </c>
      <c r="E1543" s="10" t="str">
        <f>HYPERLINK("https://twitter.com/Santi_ABASCAL/status/1062691559173513217","1062691559173513217")</f>
        <v>1062691559173513217</v>
      </c>
      <c r="F1543" s="16" t="s">
        <v>5478</v>
      </c>
      <c r="G1543" s="12"/>
      <c r="H1543" s="12"/>
      <c r="I1543" s="13">
        <v>1124</v>
      </c>
      <c r="J1543" s="13">
        <v>2183</v>
      </c>
      <c r="K1543" s="14" t="str">
        <f>HYPERLINK("http://twitter.com/download/android","Twitter for Android")</f>
        <v>Twitter for Android</v>
      </c>
      <c r="L1543" s="13">
        <v>117602</v>
      </c>
      <c r="M1543" s="13">
        <v>3896</v>
      </c>
      <c r="N1543" s="13">
        <v>915</v>
      </c>
      <c r="O1543" s="23" t="s">
        <v>186</v>
      </c>
      <c r="P1543" s="6">
        <v>40606.716446759259</v>
      </c>
      <c r="Q1543" s="16" t="s">
        <v>188</v>
      </c>
      <c r="R1543" s="17" t="s">
        <v>189</v>
      </c>
      <c r="S1543" s="11" t="s">
        <v>190</v>
      </c>
      <c r="T1543" s="12"/>
      <c r="U1543" s="10" t="str">
        <f>HYPERLINK("https://pbs.twimg.com/profile_images/1010488787686879232/2CnqYKlD.jpg","View")</f>
        <v>View</v>
      </c>
    </row>
    <row r="1544" spans="1:21" ht="61.2">
      <c r="A1544" s="6">
        <v>43418.579259259262</v>
      </c>
      <c r="B1544" s="7" t="str">
        <f>HYPERLINK("https://twitter.com/rivasactual","@rivasactual")</f>
        <v>@rivasactual</v>
      </c>
      <c r="C1544" s="8" t="s">
        <v>4948</v>
      </c>
      <c r="D1544" s="9" t="s">
        <v>4949</v>
      </c>
      <c r="E1544" s="10" t="str">
        <f>HYPERLINK("https://twitter.com/rivasactual/status/1062690140894777344","1062690140894777344")</f>
        <v>1062690140894777344</v>
      </c>
      <c r="F1544" s="11" t="s">
        <v>4950</v>
      </c>
      <c r="G1544" s="12"/>
      <c r="H1544" s="12"/>
      <c r="I1544" s="13">
        <v>16</v>
      </c>
      <c r="J1544" s="13">
        <v>22</v>
      </c>
      <c r="K1544" s="14" t="str">
        <f t="shared" ref="K1544:K1545" si="421">HYPERLINK("http://twitter.com","Twitter Web Client")</f>
        <v>Twitter Web Client</v>
      </c>
      <c r="L1544" s="13">
        <v>2846</v>
      </c>
      <c r="M1544" s="13">
        <v>435</v>
      </c>
      <c r="N1544" s="13">
        <v>48</v>
      </c>
      <c r="O1544" s="15"/>
      <c r="P1544" s="6">
        <v>40360.057986111111</v>
      </c>
      <c r="Q1544" s="16" t="s">
        <v>4951</v>
      </c>
      <c r="R1544" s="17" t="s">
        <v>4952</v>
      </c>
      <c r="S1544" s="11" t="s">
        <v>4953</v>
      </c>
      <c r="T1544" s="12"/>
      <c r="U1544" s="10" t="str">
        <f>HYPERLINK("https://pbs.twimg.com/profile_images/1042062418/Cabecera_Rivas_Actual_Miniatura.jpg","View")</f>
        <v>View</v>
      </c>
    </row>
    <row r="1545" spans="1:21" ht="102">
      <c r="A1545" s="6">
        <v>43418.571620370371</v>
      </c>
      <c r="B1545" s="7" t="str">
        <f>HYPERLINK("https://twitter.com/salva_ros","@salva_ros")</f>
        <v>@salva_ros</v>
      </c>
      <c r="C1545" s="8" t="s">
        <v>4954</v>
      </c>
      <c r="D1545" s="9" t="s">
        <v>4955</v>
      </c>
      <c r="E1545" s="10" t="str">
        <f>HYPERLINK("https://twitter.com/salva_ros/status/1062687373690068992","1062687373690068992")</f>
        <v>1062687373690068992</v>
      </c>
      <c r="F1545" s="16" t="s">
        <v>4956</v>
      </c>
      <c r="G1545" s="12"/>
      <c r="H1545" s="12"/>
      <c r="I1545" s="13">
        <v>1</v>
      </c>
      <c r="J1545" s="13">
        <v>2</v>
      </c>
      <c r="K1545" s="14" t="str">
        <f t="shared" si="421"/>
        <v>Twitter Web Client</v>
      </c>
      <c r="L1545" s="13">
        <v>1174</v>
      </c>
      <c r="M1545" s="13">
        <v>2031</v>
      </c>
      <c r="N1545" s="13">
        <v>21</v>
      </c>
      <c r="O1545" s="15"/>
      <c r="P1545" s="6">
        <v>40517.156018518523</v>
      </c>
      <c r="Q1545" s="16" t="s">
        <v>95</v>
      </c>
      <c r="R1545" s="17" t="s">
        <v>4957</v>
      </c>
      <c r="S1545" s="11" t="s">
        <v>4958</v>
      </c>
      <c r="T1545" s="12"/>
      <c r="U1545" s="10" t="str">
        <f>HYPERLINK("https://pbs.twimg.com/profile_images/927513368679927809/EUwsRxKH.jpg","View")</f>
        <v>View</v>
      </c>
    </row>
    <row r="1546" spans="1:21" ht="81.599999999999994">
      <c r="A1546" s="6">
        <v>43418.558009259257</v>
      </c>
      <c r="B1546" s="7" t="str">
        <f>HYPERLINK("https://twitter.com/lunadebenidorm","@lunadebenidorm")</f>
        <v>@lunadebenidorm</v>
      </c>
      <c r="C1546" s="8" t="s">
        <v>106</v>
      </c>
      <c r="D1546" s="9" t="s">
        <v>4961</v>
      </c>
      <c r="E1546" s="10" t="str">
        <f>HYPERLINK("https://twitter.com/lunadebenidorm/status/1062682443579383808","1062682443579383808")</f>
        <v>1062682443579383808</v>
      </c>
      <c r="F1546" s="11" t="s">
        <v>4962</v>
      </c>
      <c r="G1546" s="11" t="s">
        <v>4963</v>
      </c>
      <c r="H1546" s="12"/>
      <c r="I1546" s="13">
        <v>0</v>
      </c>
      <c r="J1546" s="13">
        <v>1</v>
      </c>
      <c r="K1546" s="14" t="str">
        <f>HYPERLINK("http://twitter.com/download/android","Twitter for Android")</f>
        <v>Twitter for Android</v>
      </c>
      <c r="L1546" s="13">
        <v>3991</v>
      </c>
      <c r="M1546" s="13">
        <v>3978</v>
      </c>
      <c r="N1546" s="13">
        <v>79</v>
      </c>
      <c r="O1546" s="15"/>
      <c r="P1546" s="6">
        <v>41461.81186342593</v>
      </c>
      <c r="Q1546" s="12"/>
      <c r="R1546" s="17" t="s">
        <v>108</v>
      </c>
      <c r="S1546" s="12"/>
      <c r="T1546" s="12"/>
      <c r="U1546" s="10" t="str">
        <f>HYPERLINK("https://pbs.twimg.com/profile_images/1061229593758257153/rePCQt08.jpg","View")</f>
        <v>View</v>
      </c>
    </row>
    <row r="1547" spans="1:21" ht="40.799999999999997">
      <c r="A1547" s="6">
        <v>43418.55636574074</v>
      </c>
      <c r="B1547" s="7" t="str">
        <f>HYPERLINK("https://twitter.com/don_Diario","@don_Diario")</f>
        <v>@don_Diario</v>
      </c>
      <c r="C1547" s="25" t="s">
        <v>4964</v>
      </c>
      <c r="D1547" s="27" t="s">
        <v>4965</v>
      </c>
      <c r="E1547" s="10" t="str">
        <f>HYPERLINK("https://twitter.com/don_Diario/status/1062681846536982528","1062681846536982528")</f>
        <v>1062681846536982528</v>
      </c>
      <c r="F1547" s="11" t="s">
        <v>4966</v>
      </c>
      <c r="G1547" s="11" t="s">
        <v>4967</v>
      </c>
      <c r="H1547" s="12"/>
      <c r="I1547" s="13">
        <v>0</v>
      </c>
      <c r="J1547" s="13">
        <v>0</v>
      </c>
      <c r="K1547" s="14" t="str">
        <f>HYPERLINK("https://about.twitter.com/products/tweetdeck","TweetDeck")</f>
        <v>TweetDeck</v>
      </c>
      <c r="L1547" s="13">
        <v>47775</v>
      </c>
      <c r="M1547" s="13">
        <v>92</v>
      </c>
      <c r="N1547" s="13">
        <v>1334</v>
      </c>
      <c r="O1547" s="15"/>
      <c r="P1547" s="6">
        <v>39911.462465277778</v>
      </c>
      <c r="Q1547" s="16" t="s">
        <v>66</v>
      </c>
      <c r="R1547" s="17" t="s">
        <v>4968</v>
      </c>
      <c r="S1547" s="11" t="s">
        <v>4969</v>
      </c>
      <c r="T1547" s="12"/>
      <c r="U1547" s="10" t="str">
        <f>HYPERLINK("https://pbs.twimg.com/profile_images/1048140162247675904/sLf5W_y0.jpg","View")</f>
        <v>View</v>
      </c>
    </row>
    <row r="1548" spans="1:21" ht="30.6">
      <c r="A1548" s="6">
        <v>43418.554710648154</v>
      </c>
      <c r="B1548" s="7" t="str">
        <f>HYPERLINK("https://twitter.com/RiveJaspe","@RiveJaspe")</f>
        <v>@RiveJaspe</v>
      </c>
      <c r="C1548" s="8" t="s">
        <v>4970</v>
      </c>
      <c r="D1548" s="9" t="s">
        <v>4971</v>
      </c>
      <c r="E1548" s="10" t="str">
        <f>HYPERLINK("https://twitter.com/RiveJaspe/status/1062681248097861632","1062681248097861632")</f>
        <v>1062681248097861632</v>
      </c>
      <c r="F1548" s="12"/>
      <c r="G1548" s="11" t="s">
        <v>4972</v>
      </c>
      <c r="H1548" s="12"/>
      <c r="I1548" s="13">
        <v>0</v>
      </c>
      <c r="J1548" s="13">
        <v>0</v>
      </c>
      <c r="K1548" s="14" t="str">
        <f t="shared" ref="K1548:K1549" si="422">HYPERLINK("http://twitter.com/download/android","Twitter for Android")</f>
        <v>Twitter for Android</v>
      </c>
      <c r="L1548" s="13">
        <v>164</v>
      </c>
      <c r="M1548" s="13">
        <v>372</v>
      </c>
      <c r="N1548" s="13">
        <v>5</v>
      </c>
      <c r="O1548" s="15"/>
      <c r="P1548" s="6">
        <v>40654.878680555557</v>
      </c>
      <c r="Q1548" s="12"/>
      <c r="R1548" s="17" t="s">
        <v>4975</v>
      </c>
      <c r="S1548" s="12"/>
      <c r="T1548" s="12"/>
      <c r="U1548" s="10" t="str">
        <f>HYPERLINK("https://pbs.twimg.com/profile_images/951903152420290562/hdL8U7pZ.jpg","View")</f>
        <v>View</v>
      </c>
    </row>
    <row r="1549" spans="1:21" ht="20.399999999999999">
      <c r="A1549" s="6">
        <v>43418.547893518524</v>
      </c>
      <c r="B1549" s="7" t="str">
        <f>HYPERLINK("https://twitter.com/Santi_ABASCAL","@Santi_ABASCAL")</f>
        <v>@Santi_ABASCAL</v>
      </c>
      <c r="C1549" s="8" t="s">
        <v>182</v>
      </c>
      <c r="D1549" s="9" t="s">
        <v>5479</v>
      </c>
      <c r="E1549" s="10" t="str">
        <f>HYPERLINK("https://twitter.com/Santi_ABASCAL/status/1062678777992486912","1062678777992486912")</f>
        <v>1062678777992486912</v>
      </c>
      <c r="F1549" s="12"/>
      <c r="G1549" s="11" t="s">
        <v>4395</v>
      </c>
      <c r="H1549" s="12"/>
      <c r="I1549" s="13">
        <v>232</v>
      </c>
      <c r="J1549" s="13">
        <v>500</v>
      </c>
      <c r="K1549" s="14" t="str">
        <f t="shared" si="422"/>
        <v>Twitter for Android</v>
      </c>
      <c r="L1549" s="13">
        <v>117602</v>
      </c>
      <c r="M1549" s="13">
        <v>3896</v>
      </c>
      <c r="N1549" s="13">
        <v>915</v>
      </c>
      <c r="O1549" s="23" t="s">
        <v>186</v>
      </c>
      <c r="P1549" s="6">
        <v>40606.716446759259</v>
      </c>
      <c r="Q1549" s="16" t="s">
        <v>188</v>
      </c>
      <c r="R1549" s="17" t="s">
        <v>189</v>
      </c>
      <c r="S1549" s="11" t="s">
        <v>190</v>
      </c>
      <c r="T1549" s="12"/>
      <c r="U1549" s="10" t="str">
        <f>HYPERLINK("https://pbs.twimg.com/profile_images/1010488787686879232/2CnqYKlD.jpg","View")</f>
        <v>View</v>
      </c>
    </row>
    <row r="1550" spans="1:21" ht="51">
      <c r="A1550" s="6">
        <v>43418.54305555555</v>
      </c>
      <c r="B1550" s="7" t="str">
        <f>HYPERLINK("https://twitter.com/bitMomentum","@bitMomentum")</f>
        <v>@bitMomentum</v>
      </c>
      <c r="C1550" s="8" t="s">
        <v>368</v>
      </c>
      <c r="D1550" s="9" t="s">
        <v>4977</v>
      </c>
      <c r="E1550" s="10" t="str">
        <f>HYPERLINK("https://twitter.com/bitMomentum/status/1062677021451583488","1062677021451583488")</f>
        <v>1062677021451583488</v>
      </c>
      <c r="F1550" s="12"/>
      <c r="G1550" s="12"/>
      <c r="H1550" s="12"/>
      <c r="I1550" s="13">
        <v>0</v>
      </c>
      <c r="J1550" s="13">
        <v>0</v>
      </c>
      <c r="K1550" s="14" t="str">
        <f>HYPERLINK("http://www.bitmomentum.com","bitMomentum Bot")</f>
        <v>bitMomentum Bot</v>
      </c>
      <c r="L1550" s="13">
        <v>10132</v>
      </c>
      <c r="M1550" s="13">
        <v>1060</v>
      </c>
      <c r="N1550" s="13">
        <v>267</v>
      </c>
      <c r="O1550" s="15"/>
      <c r="P1550" s="6">
        <v>41608.667511574073</v>
      </c>
      <c r="Q1550" s="12"/>
      <c r="R1550" s="17" t="s">
        <v>371</v>
      </c>
      <c r="S1550" s="11" t="s">
        <v>372</v>
      </c>
      <c r="T1550" s="12"/>
      <c r="U1550" s="10" t="str">
        <f>HYPERLINK("https://pbs.twimg.com/profile_images/378800000862185241/20ij2H3u.png","View")</f>
        <v>View</v>
      </c>
    </row>
    <row r="1551" spans="1:21" ht="51">
      <c r="A1551" s="6">
        <v>43418.542604166665</v>
      </c>
      <c r="B1551" s="7" t="str">
        <f>HYPERLINK("https://twitter.com/steady_nicolas","@steady_nicolas")</f>
        <v>@steady_nicolas</v>
      </c>
      <c r="C1551" s="8" t="s">
        <v>5480</v>
      </c>
      <c r="D1551" s="9" t="s">
        <v>5481</v>
      </c>
      <c r="E1551" s="10" t="str">
        <f>HYPERLINK("https://twitter.com/steady_nicolas/status/1062676860465758209","1062676860465758209")</f>
        <v>1062676860465758209</v>
      </c>
      <c r="F1551" s="12"/>
      <c r="G1551" s="12"/>
      <c r="H1551" s="12"/>
      <c r="I1551" s="13">
        <v>0</v>
      </c>
      <c r="J1551" s="13">
        <v>0</v>
      </c>
      <c r="K1551" s="14" t="str">
        <f>HYPERLINK("http://twitter.com","Twitter Web Client")</f>
        <v>Twitter Web Client</v>
      </c>
      <c r="L1551" s="13">
        <v>11</v>
      </c>
      <c r="M1551" s="13">
        <v>50</v>
      </c>
      <c r="N1551" s="13">
        <v>0</v>
      </c>
      <c r="O1551" s="15"/>
      <c r="P1551" s="6">
        <v>43394.630729166667</v>
      </c>
      <c r="Q1551" s="16" t="s">
        <v>5482</v>
      </c>
      <c r="R1551" s="17" t="s">
        <v>5483</v>
      </c>
      <c r="S1551" s="11" t="s">
        <v>5484</v>
      </c>
      <c r="T1551" s="12"/>
      <c r="U1551" s="10" t="str">
        <f>HYPERLINK("https://pbs.twimg.com/profile_images/1065950533243076608/UeM-g7py.jpg","View")</f>
        <v>View</v>
      </c>
    </row>
    <row r="1552" spans="1:21" ht="30.6">
      <c r="A1552" s="6">
        <v>43418.542407407411</v>
      </c>
      <c r="B1552" s="7" t="str">
        <f>HYPERLINK("https://twitter.com/MelOsoPolar","@MelOsoPolar")</f>
        <v>@MelOsoPolar</v>
      </c>
      <c r="C1552" s="8" t="s">
        <v>5485</v>
      </c>
      <c r="D1552" s="9" t="s">
        <v>5486</v>
      </c>
      <c r="E1552" s="10" t="str">
        <f>HYPERLINK("https://twitter.com/MelOsoPolar/status/1062676787254190080","1062676787254190080")</f>
        <v>1062676787254190080</v>
      </c>
      <c r="F1552" s="12"/>
      <c r="G1552" s="12"/>
      <c r="H1552" s="12"/>
      <c r="I1552" s="13">
        <v>3</v>
      </c>
      <c r="J1552" s="13">
        <v>3</v>
      </c>
      <c r="K1552" s="14" t="str">
        <f>HYPERLINK("http://twitter.com/download/android","Twitter for Android")</f>
        <v>Twitter for Android</v>
      </c>
      <c r="L1552" s="13">
        <v>190</v>
      </c>
      <c r="M1552" s="13">
        <v>209</v>
      </c>
      <c r="N1552" s="13">
        <v>0</v>
      </c>
      <c r="O1552" s="15"/>
      <c r="P1552" s="6">
        <v>42913.957268518519</v>
      </c>
      <c r="Q1552" s="16" t="s">
        <v>5487</v>
      </c>
      <c r="R1552" s="17" t="s">
        <v>5488</v>
      </c>
      <c r="S1552" s="12"/>
      <c r="T1552" s="12"/>
      <c r="U1552" s="10" t="str">
        <f>HYPERLINK("https://pbs.twimg.com/profile_images/970918655432196096/CH5WTgcP.jpg","View")</f>
        <v>View</v>
      </c>
    </row>
    <row r="1553" spans="1:21" ht="40.799999999999997">
      <c r="A1553" s="6">
        <v>43418.542361111111</v>
      </c>
      <c r="B1553" s="7" t="str">
        <f>HYPERLINK("https://twitter.com/bitMomentum","@bitMomentum")</f>
        <v>@bitMomentum</v>
      </c>
      <c r="C1553" s="8" t="s">
        <v>368</v>
      </c>
      <c r="D1553" s="9" t="s">
        <v>4983</v>
      </c>
      <c r="E1553" s="10" t="str">
        <f>HYPERLINK("https://twitter.com/bitMomentum/status/1062676769910767618","1062676769910767618")</f>
        <v>1062676769910767618</v>
      </c>
      <c r="F1553" s="12"/>
      <c r="G1553" s="12"/>
      <c r="H1553" s="12"/>
      <c r="I1553" s="13">
        <v>0</v>
      </c>
      <c r="J1553" s="13">
        <v>0</v>
      </c>
      <c r="K1553" s="14" t="str">
        <f>HYPERLINK("http://www.bitmomentum.com","bitMomentum Bot")</f>
        <v>bitMomentum Bot</v>
      </c>
      <c r="L1553" s="13">
        <v>10132</v>
      </c>
      <c r="M1553" s="13">
        <v>1060</v>
      </c>
      <c r="N1553" s="13">
        <v>267</v>
      </c>
      <c r="O1553" s="15"/>
      <c r="P1553" s="6">
        <v>41608.667511574073</v>
      </c>
      <c r="Q1553" s="12"/>
      <c r="R1553" s="17" t="s">
        <v>371</v>
      </c>
      <c r="S1553" s="11" t="s">
        <v>372</v>
      </c>
      <c r="T1553" s="12"/>
      <c r="U1553" s="10" t="str">
        <f>HYPERLINK("https://pbs.twimg.com/profile_images/378800000862185241/20ij2H3u.png","View")</f>
        <v>View</v>
      </c>
    </row>
    <row r="1554" spans="1:21" ht="61.2">
      <c r="A1554" s="6">
        <v>43418.530266203699</v>
      </c>
      <c r="B1554" s="7" t="str">
        <f>HYPERLINK("https://twitter.com/ArezExposito","@ArezExposito")</f>
        <v>@ArezExposito</v>
      </c>
      <c r="C1554" s="8" t="s">
        <v>4987</v>
      </c>
      <c r="D1554" s="9" t="s">
        <v>4988</v>
      </c>
      <c r="E1554" s="10" t="str">
        <f>HYPERLINK("https://twitter.com/ArezExposito/status/1062672386561097729","1062672386561097729")</f>
        <v>1062672386561097729</v>
      </c>
      <c r="F1554" s="12"/>
      <c r="G1554" s="11" t="s">
        <v>4989</v>
      </c>
      <c r="H1554" s="12"/>
      <c r="I1554" s="13">
        <v>2</v>
      </c>
      <c r="J1554" s="13">
        <v>1</v>
      </c>
      <c r="K1554" s="14" t="str">
        <f>HYPERLINK("http://twitter.com/download/android","Twitter for Android")</f>
        <v>Twitter for Android</v>
      </c>
      <c r="L1554" s="13">
        <v>12</v>
      </c>
      <c r="M1554" s="13">
        <v>118</v>
      </c>
      <c r="N1554" s="13">
        <v>0</v>
      </c>
      <c r="O1554" s="15"/>
      <c r="P1554" s="6">
        <v>43412.440115740741</v>
      </c>
      <c r="Q1554" s="12"/>
      <c r="R1554" s="21"/>
      <c r="S1554" s="12"/>
      <c r="T1554" s="12"/>
      <c r="U1554" s="10" t="str">
        <f>HYPERLINK("https://pbs.twimg.com/profile_images/1060466389306224641/7YNu9-Qq.jpg","View")</f>
        <v>View</v>
      </c>
    </row>
    <row r="1555" spans="1:21" ht="20.399999999999999">
      <c r="A1555" s="6">
        <v>43418.523530092592</v>
      </c>
      <c r="B1555" s="7" t="str">
        <f>HYPERLINK("https://twitter.com/razeaux","@razeaux")</f>
        <v>@razeaux</v>
      </c>
      <c r="C1555" s="8" t="s">
        <v>4990</v>
      </c>
      <c r="D1555" s="9" t="s">
        <v>4991</v>
      </c>
      <c r="E1555" s="10" t="str">
        <f>HYPERLINK("https://twitter.com/razeaux/status/1062669945337716737","1062669945337716737")</f>
        <v>1062669945337716737</v>
      </c>
      <c r="F1555" s="12"/>
      <c r="G1555" s="12"/>
      <c r="H1555" s="12"/>
      <c r="I1555" s="13">
        <v>0</v>
      </c>
      <c r="J1555" s="13">
        <v>0</v>
      </c>
      <c r="K1555" s="14" t="str">
        <f>HYPERLINK("http://twitter.com/download/iphone","Twitter for iPhone")</f>
        <v>Twitter for iPhone</v>
      </c>
      <c r="L1555" s="13">
        <v>335</v>
      </c>
      <c r="M1555" s="13">
        <v>404</v>
      </c>
      <c r="N1555" s="13">
        <v>4</v>
      </c>
      <c r="O1555" s="15"/>
      <c r="P1555" s="6">
        <v>41046.001712962963</v>
      </c>
      <c r="Q1555" s="16" t="s">
        <v>4992</v>
      </c>
      <c r="R1555" s="17" t="s">
        <v>4993</v>
      </c>
      <c r="S1555" s="12"/>
      <c r="T1555" s="12"/>
      <c r="U1555" s="10" t="str">
        <f>HYPERLINK("https://pbs.twimg.com/profile_images/825796631220060161/pmLP5XOO.jpg","View")</f>
        <v>View</v>
      </c>
    </row>
    <row r="1556" spans="1:21" ht="61.2">
      <c r="A1556" s="6">
        <v>43418.522824074069</v>
      </c>
      <c r="B1556" s="7" t="str">
        <f>HYPERLINK("https://twitter.com/vlcspaeu","@vlcspaeu")</f>
        <v>@vlcspaeu</v>
      </c>
      <c r="C1556" s="8" t="s">
        <v>2260</v>
      </c>
      <c r="D1556" s="9" t="s">
        <v>4994</v>
      </c>
      <c r="E1556" s="10" t="str">
        <f>HYPERLINK("https://twitter.com/vlcspaeu/status/1062669693331402752","1062669693331402752")</f>
        <v>1062669693331402752</v>
      </c>
      <c r="F1556" s="12"/>
      <c r="G1556" s="11" t="s">
        <v>4995</v>
      </c>
      <c r="H1556" s="12"/>
      <c r="I1556" s="13">
        <v>1</v>
      </c>
      <c r="J1556" s="13">
        <v>3</v>
      </c>
      <c r="K1556" s="14" t="str">
        <f>HYPERLINK("http://twitter.com/download/android","Twitter for Android")</f>
        <v>Twitter for Android</v>
      </c>
      <c r="L1556" s="13">
        <v>345</v>
      </c>
      <c r="M1556" s="13">
        <v>314</v>
      </c>
      <c r="N1556" s="13">
        <v>4</v>
      </c>
      <c r="O1556" s="15"/>
      <c r="P1556" s="6">
        <v>40953.850127314814</v>
      </c>
      <c r="Q1556" s="16" t="s">
        <v>527</v>
      </c>
      <c r="R1556" s="17" t="s">
        <v>2262</v>
      </c>
      <c r="S1556" s="12"/>
      <c r="T1556" s="12"/>
      <c r="U1556" s="10" t="str">
        <f>HYPERLINK("https://pbs.twimg.com/profile_images/1051202944278949888/iyW3cAxh.jpg","View")</f>
        <v>View</v>
      </c>
    </row>
    <row r="1557" spans="1:21" ht="40.799999999999997">
      <c r="A1557" s="6">
        <v>43418.516944444447</v>
      </c>
      <c r="B1557" s="7" t="str">
        <f>HYPERLINK("https://twitter.com/raroru2004","@raroru2004")</f>
        <v>@raroru2004</v>
      </c>
      <c r="C1557" s="8" t="s">
        <v>4558</v>
      </c>
      <c r="D1557" s="9" t="s">
        <v>4559</v>
      </c>
      <c r="E1557" s="10" t="str">
        <f>HYPERLINK("https://twitter.com/raroru2004/status/1062667562398433280","1062667562398433280")</f>
        <v>1062667562398433280</v>
      </c>
      <c r="F1557" s="11" t="s">
        <v>1209</v>
      </c>
      <c r="G1557" s="12"/>
      <c r="H1557" s="12"/>
      <c r="I1557" s="13">
        <v>0</v>
      </c>
      <c r="J1557" s="13">
        <v>0</v>
      </c>
      <c r="K1557" s="14" t="str">
        <f>HYPERLINK("http://twitter.com/download/iphone","Twitter for iPhone")</f>
        <v>Twitter for iPhone</v>
      </c>
      <c r="L1557" s="13">
        <v>64</v>
      </c>
      <c r="M1557" s="13">
        <v>377</v>
      </c>
      <c r="N1557" s="13">
        <v>0</v>
      </c>
      <c r="O1557" s="15"/>
      <c r="P1557" s="6">
        <v>40855.43922453704</v>
      </c>
      <c r="Q1557" s="16" t="s">
        <v>1564</v>
      </c>
      <c r="R1557" s="21"/>
      <c r="S1557" s="12"/>
      <c r="T1557" s="12"/>
      <c r="U1557" s="10" t="str">
        <f>HYPERLINK("https://pbs.twimg.com/profile_images/749314281200582656/nN718QuL.jpg","View")</f>
        <v>View</v>
      </c>
    </row>
    <row r="1558" spans="1:21" ht="20.399999999999999">
      <c r="A1558" s="6">
        <v>43418.515081018515</v>
      </c>
      <c r="B1558" s="7" t="str">
        <f>HYPERLINK("https://twitter.com/sara_vmartin","@sara_vmartin")</f>
        <v>@sara_vmartin</v>
      </c>
      <c r="C1558" s="8" t="s">
        <v>5489</v>
      </c>
      <c r="D1558" s="9" t="s">
        <v>5490</v>
      </c>
      <c r="E1558" s="10" t="str">
        <f>HYPERLINK("https://twitter.com/sara_vmartin/status/1062666886557720576","1062666886557720576")</f>
        <v>1062666886557720576</v>
      </c>
      <c r="F1558" s="12"/>
      <c r="G1558" s="12"/>
      <c r="H1558" s="12"/>
      <c r="I1558" s="13">
        <v>5</v>
      </c>
      <c r="J1558" s="13">
        <v>12</v>
      </c>
      <c r="K1558" s="14" t="str">
        <f>HYPERLINK("http://twitter.com","Twitter Web Client")</f>
        <v>Twitter Web Client</v>
      </c>
      <c r="L1558" s="13">
        <v>4933</v>
      </c>
      <c r="M1558" s="13">
        <v>185</v>
      </c>
      <c r="N1558" s="13">
        <v>71</v>
      </c>
      <c r="O1558" s="15"/>
      <c r="P1558" s="6">
        <v>42041.947071759263</v>
      </c>
      <c r="Q1558" s="12"/>
      <c r="R1558" s="17" t="s">
        <v>5491</v>
      </c>
      <c r="S1558" s="11" t="s">
        <v>5492</v>
      </c>
      <c r="T1558" s="12"/>
      <c r="U1558" s="10" t="str">
        <f>HYPERLINK("https://pbs.twimg.com/profile_images/906286351372386311/8Giq21P7.jpg","View")</f>
        <v>View</v>
      </c>
    </row>
    <row r="1559" spans="1:21" ht="81.599999999999994">
      <c r="A1559" s="6">
        <v>43418.514965277776</v>
      </c>
      <c r="B1559" s="7" t="str">
        <f>HYPERLINK("https://twitter.com/VcruedagC","@VcruedagC")</f>
        <v>@VcruedagC</v>
      </c>
      <c r="C1559" s="8" t="s">
        <v>739</v>
      </c>
      <c r="D1559" s="9" t="s">
        <v>4996</v>
      </c>
      <c r="E1559" s="10" t="str">
        <f>HYPERLINK("https://twitter.com/VcruedagC/status/1062666844321001473","1062666844321001473")</f>
        <v>1062666844321001473</v>
      </c>
      <c r="F1559" s="11" t="s">
        <v>4997</v>
      </c>
      <c r="G1559" s="11" t="s">
        <v>4998</v>
      </c>
      <c r="H1559" s="12"/>
      <c r="I1559" s="13">
        <v>0</v>
      </c>
      <c r="J1559" s="13">
        <v>0</v>
      </c>
      <c r="K1559" s="14" t="str">
        <f t="shared" ref="K1559:K1560" si="423">HYPERLINK("http://twitter.com/download/android","Twitter for Android")</f>
        <v>Twitter for Android</v>
      </c>
      <c r="L1559" s="13">
        <v>121</v>
      </c>
      <c r="M1559" s="13">
        <v>96</v>
      </c>
      <c r="N1559" s="13">
        <v>3</v>
      </c>
      <c r="O1559" s="15"/>
      <c r="P1559" s="6">
        <v>40705.877175925925</v>
      </c>
      <c r="Q1559" s="16" t="s">
        <v>66</v>
      </c>
      <c r="R1559" s="17" t="s">
        <v>743</v>
      </c>
      <c r="S1559" s="12"/>
      <c r="T1559" s="12"/>
      <c r="U1559" s="10" t="str">
        <f>HYPERLINK("https://pbs.twimg.com/profile_images/1000100108887830529/Vaqv1c2Q.jpg","View")</f>
        <v>View</v>
      </c>
    </row>
    <row r="1560" spans="1:21" ht="40.799999999999997">
      <c r="A1560" s="6">
        <v>43418.511608796296</v>
      </c>
      <c r="B1560" s="7" t="str">
        <f>HYPERLINK("https://twitter.com/JoseLuisdelRio9","@JoseLuisdelRio9")</f>
        <v>@JoseLuisdelRio9</v>
      </c>
      <c r="C1560" s="8" t="s">
        <v>114</v>
      </c>
      <c r="D1560" s="9" t="s">
        <v>4999</v>
      </c>
      <c r="E1560" s="10" t="str">
        <f>HYPERLINK("https://twitter.com/JoseLuisdelRio9/status/1062665628237119488","1062665628237119488")</f>
        <v>1062665628237119488</v>
      </c>
      <c r="F1560" s="11" t="s">
        <v>5000</v>
      </c>
      <c r="G1560" s="12"/>
      <c r="H1560" s="12"/>
      <c r="I1560" s="13">
        <v>29</v>
      </c>
      <c r="J1560" s="13">
        <v>26</v>
      </c>
      <c r="K1560" s="14" t="str">
        <f t="shared" si="423"/>
        <v>Twitter for Android</v>
      </c>
      <c r="L1560" s="13">
        <v>1807</v>
      </c>
      <c r="M1560" s="13">
        <v>2601</v>
      </c>
      <c r="N1560" s="13">
        <v>11</v>
      </c>
      <c r="O1560" s="15"/>
      <c r="P1560" s="6">
        <v>41780.701782407406</v>
      </c>
      <c r="Q1560" s="12"/>
      <c r="R1560" s="21"/>
      <c r="S1560" s="12"/>
      <c r="T1560" s="12"/>
      <c r="U1560" s="10" t="str">
        <f>HYPERLINK("https://pbs.twimg.com/profile_images/774235564761616384/v8tceDLo.jpg","View")</f>
        <v>View</v>
      </c>
    </row>
    <row r="1561" spans="1:21" ht="51">
      <c r="A1561" s="6">
        <v>43418.51048611111</v>
      </c>
      <c r="B1561" s="7" t="str">
        <f>HYPERLINK("https://twitter.com/eldiariomurcia","@eldiariomurcia")</f>
        <v>@eldiariomurcia</v>
      </c>
      <c r="C1561" s="8" t="s">
        <v>3819</v>
      </c>
      <c r="D1561" s="9" t="s">
        <v>5001</v>
      </c>
      <c r="E1561" s="10" t="str">
        <f>HYPERLINK("https://twitter.com/eldiariomurcia/status/1062665220718559232","1062665220718559232")</f>
        <v>1062665220718559232</v>
      </c>
      <c r="F1561" s="11" t="s">
        <v>5002</v>
      </c>
      <c r="G1561" s="12"/>
      <c r="H1561" s="12"/>
      <c r="I1561" s="13">
        <v>0</v>
      </c>
      <c r="J1561" s="13">
        <v>0</v>
      </c>
      <c r="K1561" s="14" t="str">
        <f>HYPERLINK("https://www.hootsuite.com","Hootsuite Inc.")</f>
        <v>Hootsuite Inc.</v>
      </c>
      <c r="L1561" s="13">
        <v>6956</v>
      </c>
      <c r="M1561" s="13">
        <v>2166</v>
      </c>
      <c r="N1561" s="13">
        <v>152</v>
      </c>
      <c r="O1561" s="15"/>
      <c r="P1561" s="6">
        <v>41907.596539351856</v>
      </c>
      <c r="Q1561" s="16" t="s">
        <v>3820</v>
      </c>
      <c r="R1561" s="17" t="s">
        <v>3822</v>
      </c>
      <c r="S1561" s="11" t="s">
        <v>3806</v>
      </c>
      <c r="T1561" s="12"/>
      <c r="U1561" s="10" t="str">
        <f>HYPERLINK("https://pbs.twimg.com/profile_images/972423446188699648/DsZx-3Jc.jpg","View")</f>
        <v>View</v>
      </c>
    </row>
    <row r="1562" spans="1:21" ht="40.799999999999997">
      <c r="A1562" s="6">
        <v>43418.508634259255</v>
      </c>
      <c r="B1562" s="7" t="str">
        <f>HYPERLINK("https://twitter.com/jaumeors","@jaumeors")</f>
        <v>@jaumeors</v>
      </c>
      <c r="C1562" s="8" t="s">
        <v>1062</v>
      </c>
      <c r="D1562" s="9" t="s">
        <v>4565</v>
      </c>
      <c r="E1562" s="10" t="str">
        <f>HYPERLINK("https://twitter.com/jaumeors/status/1062664550380699649","1062664550380699649")</f>
        <v>1062664550380699649</v>
      </c>
      <c r="F1562" s="11" t="s">
        <v>3774</v>
      </c>
      <c r="G1562" s="12"/>
      <c r="H1562" s="12"/>
      <c r="I1562" s="13">
        <v>1</v>
      </c>
      <c r="J1562" s="13">
        <v>1</v>
      </c>
      <c r="K1562" s="14" t="str">
        <f>HYPERLINK("http://twitter.com/download/android","Twitter for Android")</f>
        <v>Twitter for Android</v>
      </c>
      <c r="L1562" s="13">
        <v>2320</v>
      </c>
      <c r="M1562" s="13">
        <v>1729</v>
      </c>
      <c r="N1562" s="13">
        <v>35</v>
      </c>
      <c r="O1562" s="15"/>
      <c r="P1562" s="6">
        <v>40804.792037037041</v>
      </c>
      <c r="Q1562" s="16" t="s">
        <v>527</v>
      </c>
      <c r="R1562" s="17" t="s">
        <v>1068</v>
      </c>
      <c r="S1562" s="12"/>
      <c r="T1562" s="12"/>
      <c r="U1562" s="10" t="str">
        <f>HYPERLINK("https://pbs.twimg.com/profile_images/602277285530628097/6mVOabvQ.jpg","View")</f>
        <v>View</v>
      </c>
    </row>
    <row r="1563" spans="1:21" ht="30.6">
      <c r="A1563" s="6">
        <v>43418.505902777775</v>
      </c>
      <c r="B1563" s="7" t="str">
        <f>HYPERLINK("https://twitter.com/Alternativa_VOX","@Alternativa_VOX")</f>
        <v>@Alternativa_VOX</v>
      </c>
      <c r="C1563" s="8" t="s">
        <v>977</v>
      </c>
      <c r="D1563" s="9" t="s">
        <v>5003</v>
      </c>
      <c r="E1563" s="10" t="str">
        <f>HYPERLINK("https://twitter.com/Alternativa_VOX/status/1062663559275048960","1062663559275048960")</f>
        <v>1062663559275048960</v>
      </c>
      <c r="F1563" s="12"/>
      <c r="G1563" s="11" t="s">
        <v>5004</v>
      </c>
      <c r="H1563" s="12"/>
      <c r="I1563" s="13">
        <v>91</v>
      </c>
      <c r="J1563" s="13">
        <v>129</v>
      </c>
      <c r="K1563" s="14" t="str">
        <f>HYPERLINK("http://twitter.com/download/iphone","Twitter for iPhone")</f>
        <v>Twitter for iPhone</v>
      </c>
      <c r="L1563" s="13">
        <v>14295</v>
      </c>
      <c r="M1563" s="13">
        <v>2342</v>
      </c>
      <c r="N1563" s="13">
        <v>63</v>
      </c>
      <c r="O1563" s="15"/>
      <c r="P1563" s="6">
        <v>42414.677303240736</v>
      </c>
      <c r="Q1563" s="12"/>
      <c r="R1563" s="17" t="s">
        <v>981</v>
      </c>
      <c r="S1563" s="12"/>
      <c r="T1563" s="12"/>
      <c r="U1563" s="10" t="str">
        <f>HYPERLINK("https://pbs.twimg.com/profile_images/1054080233844936705/IYgqsUMs.jpg","View")</f>
        <v>View</v>
      </c>
    </row>
    <row r="1564" spans="1:21" ht="51">
      <c r="A1564" s="6">
        <v>43418.501388888893</v>
      </c>
      <c r="B1564" s="7" t="str">
        <f t="shared" ref="B1564:B1565" si="424">HYPERLINK("https://twitter.com/bitMomentum","@bitMomentum")</f>
        <v>@bitMomentum</v>
      </c>
      <c r="C1564" s="8" t="s">
        <v>368</v>
      </c>
      <c r="D1564" s="9" t="s">
        <v>5005</v>
      </c>
      <c r="E1564" s="10" t="str">
        <f>HYPERLINK("https://twitter.com/bitMomentum/status/1062661922129174529","1062661922129174529")</f>
        <v>1062661922129174529</v>
      </c>
      <c r="F1564" s="12"/>
      <c r="G1564" s="12"/>
      <c r="H1564" s="12"/>
      <c r="I1564" s="13">
        <v>0</v>
      </c>
      <c r="J1564" s="13">
        <v>0</v>
      </c>
      <c r="K1564" s="14" t="str">
        <f t="shared" ref="K1564:K1565" si="425">HYPERLINK("http://www.bitmomentum.com","bitMomentum Bot")</f>
        <v>bitMomentum Bot</v>
      </c>
      <c r="L1564" s="13">
        <v>10132</v>
      </c>
      <c r="M1564" s="13">
        <v>1060</v>
      </c>
      <c r="N1564" s="13">
        <v>267</v>
      </c>
      <c r="O1564" s="15"/>
      <c r="P1564" s="6">
        <v>41608.667511574073</v>
      </c>
      <c r="Q1564" s="12"/>
      <c r="R1564" s="17" t="s">
        <v>371</v>
      </c>
      <c r="S1564" s="11" t="s">
        <v>372</v>
      </c>
      <c r="T1564" s="12"/>
      <c r="U1564" s="10" t="str">
        <f t="shared" ref="U1564:U1565" si="426">HYPERLINK("https://pbs.twimg.com/profile_images/378800000862185241/20ij2H3u.png","View")</f>
        <v>View</v>
      </c>
    </row>
    <row r="1565" spans="1:21" ht="51">
      <c r="A1565" s="6">
        <v>43418.500694444447</v>
      </c>
      <c r="B1565" s="7" t="str">
        <f t="shared" si="424"/>
        <v>@bitMomentum</v>
      </c>
      <c r="C1565" s="8" t="s">
        <v>368</v>
      </c>
      <c r="D1565" s="9" t="s">
        <v>5006</v>
      </c>
      <c r="E1565" s="10" t="str">
        <f>HYPERLINK("https://twitter.com/bitMomentum/status/1062661670424592384","1062661670424592384")</f>
        <v>1062661670424592384</v>
      </c>
      <c r="F1565" s="12"/>
      <c r="G1565" s="12"/>
      <c r="H1565" s="12"/>
      <c r="I1565" s="13">
        <v>0</v>
      </c>
      <c r="J1565" s="13">
        <v>0</v>
      </c>
      <c r="K1565" s="14" t="str">
        <f t="shared" si="425"/>
        <v>bitMomentum Bot</v>
      </c>
      <c r="L1565" s="13">
        <v>10132</v>
      </c>
      <c r="M1565" s="13">
        <v>1060</v>
      </c>
      <c r="N1565" s="13">
        <v>267</v>
      </c>
      <c r="O1565" s="15"/>
      <c r="P1565" s="6">
        <v>41608.667511574073</v>
      </c>
      <c r="Q1565" s="12"/>
      <c r="R1565" s="17" t="s">
        <v>371</v>
      </c>
      <c r="S1565" s="11" t="s">
        <v>372</v>
      </c>
      <c r="T1565" s="12"/>
      <c r="U1565" s="10" t="str">
        <f t="shared" si="426"/>
        <v>View</v>
      </c>
    </row>
    <row r="1566" spans="1:21" ht="61.2">
      <c r="A1566" s="6">
        <v>43418.494837962964</v>
      </c>
      <c r="B1566" s="7" t="str">
        <f>HYPERLINK("https://twitter.com/AlberRoC","@AlberRoC")</f>
        <v>@AlberRoC</v>
      </c>
      <c r="C1566" s="8" t="s">
        <v>2243</v>
      </c>
      <c r="D1566" s="9" t="s">
        <v>5007</v>
      </c>
      <c r="E1566" s="10" t="str">
        <f>HYPERLINK("https://twitter.com/AlberRoC/status/1062659551412043777","1062659551412043777")</f>
        <v>1062659551412043777</v>
      </c>
      <c r="F1566" s="12"/>
      <c r="G1566" s="11" t="s">
        <v>5008</v>
      </c>
      <c r="H1566" s="12"/>
      <c r="I1566" s="13">
        <v>0</v>
      </c>
      <c r="J1566" s="13">
        <v>0</v>
      </c>
      <c r="K1566" s="14" t="str">
        <f>HYPERLINK("http://twitter.com/download/iphone","Twitter for iPhone")</f>
        <v>Twitter for iPhone</v>
      </c>
      <c r="L1566" s="13">
        <v>2198</v>
      </c>
      <c r="M1566" s="13">
        <v>2829</v>
      </c>
      <c r="N1566" s="13">
        <v>32</v>
      </c>
      <c r="O1566" s="15"/>
      <c r="P1566" s="6">
        <v>40661.015798611115</v>
      </c>
      <c r="Q1566" s="16" t="s">
        <v>2246</v>
      </c>
      <c r="R1566" s="17" t="s">
        <v>2247</v>
      </c>
      <c r="S1566" s="12"/>
      <c r="T1566" s="12"/>
      <c r="U1566" s="10" t="str">
        <f>HYPERLINK("https://pbs.twimg.com/profile_images/1051485436210794496/wxF7GSqc.jpg","View")</f>
        <v>View</v>
      </c>
    </row>
    <row r="1567" spans="1:21" ht="40.799999999999997">
      <c r="A1567" s="6">
        <v>43418.490659722222</v>
      </c>
      <c r="B1567" s="7" t="str">
        <f t="shared" ref="B1567:B1568" si="427">HYPERLINK("https://twitter.com/Vox_Murcia","@Vox_Murcia")</f>
        <v>@Vox_Murcia</v>
      </c>
      <c r="C1567" s="8" t="s">
        <v>3374</v>
      </c>
      <c r="D1567" s="9" t="s">
        <v>5009</v>
      </c>
      <c r="E1567" s="10" t="str">
        <f>HYPERLINK("https://twitter.com/Vox_Murcia/status/1062658033598238720","1062658033598238720")</f>
        <v>1062658033598238720</v>
      </c>
      <c r="F1567" s="11" t="s">
        <v>5010</v>
      </c>
      <c r="G1567" s="11" t="s">
        <v>5011</v>
      </c>
      <c r="H1567" s="12"/>
      <c r="I1567" s="13">
        <v>9</v>
      </c>
      <c r="J1567" s="13">
        <v>15</v>
      </c>
      <c r="K1567" s="14" t="str">
        <f t="shared" ref="K1567:K1568" si="428">HYPERLINK("http://twitter.com","Twitter Web Client")</f>
        <v>Twitter Web Client</v>
      </c>
      <c r="L1567" s="13">
        <v>3081</v>
      </c>
      <c r="M1567" s="13">
        <v>3585</v>
      </c>
      <c r="N1567" s="13">
        <v>45</v>
      </c>
      <c r="O1567" s="15"/>
      <c r="P1567" s="6">
        <v>41706.990370370375</v>
      </c>
      <c r="Q1567" s="16" t="s">
        <v>3376</v>
      </c>
      <c r="R1567" s="17" t="s">
        <v>3377</v>
      </c>
      <c r="S1567" s="11" t="s">
        <v>187</v>
      </c>
      <c r="T1567" s="12"/>
      <c r="U1567" s="10" t="str">
        <f t="shared" ref="U1567:U1568" si="429">HYPERLINK("https://pbs.twimg.com/profile_images/1007020887571419136/2qcNDfwR.jpg","View")</f>
        <v>View</v>
      </c>
    </row>
    <row r="1568" spans="1:21" ht="51">
      <c r="A1568" s="6">
        <v>43418.484756944439</v>
      </c>
      <c r="B1568" s="7" t="str">
        <f t="shared" si="427"/>
        <v>@Vox_Murcia</v>
      </c>
      <c r="C1568" s="8" t="s">
        <v>3374</v>
      </c>
      <c r="D1568" s="9" t="s">
        <v>5012</v>
      </c>
      <c r="E1568" s="10" t="str">
        <f>HYPERLINK("https://twitter.com/Vox_Murcia/status/1062655894188670976","1062655894188670976")</f>
        <v>1062655894188670976</v>
      </c>
      <c r="F1568" s="11" t="s">
        <v>5010</v>
      </c>
      <c r="G1568" s="11" t="s">
        <v>5014</v>
      </c>
      <c r="H1568" s="12"/>
      <c r="I1568" s="13">
        <v>7</v>
      </c>
      <c r="J1568" s="13">
        <v>14</v>
      </c>
      <c r="K1568" s="14" t="str">
        <f t="shared" si="428"/>
        <v>Twitter Web Client</v>
      </c>
      <c r="L1568" s="13">
        <v>3081</v>
      </c>
      <c r="M1568" s="13">
        <v>3585</v>
      </c>
      <c r="N1568" s="13">
        <v>45</v>
      </c>
      <c r="O1568" s="15"/>
      <c r="P1568" s="6">
        <v>41706.990370370375</v>
      </c>
      <c r="Q1568" s="16" t="s">
        <v>3376</v>
      </c>
      <c r="R1568" s="17" t="s">
        <v>3377</v>
      </c>
      <c r="S1568" s="11" t="s">
        <v>187</v>
      </c>
      <c r="T1568" s="12"/>
      <c r="U1568" s="10" t="str">
        <f t="shared" si="429"/>
        <v>View</v>
      </c>
    </row>
    <row r="1569" spans="1:21" ht="30.6">
      <c r="A1569" s="6">
        <v>43418.481979166667</v>
      </c>
      <c r="B1569" s="7" t="str">
        <f>HYPERLINK("https://twitter.com/SuarezRicardo","@SuarezRicardo")</f>
        <v>@SuarezRicardo</v>
      </c>
      <c r="C1569" s="8" t="s">
        <v>4588</v>
      </c>
      <c r="D1569" s="9" t="s">
        <v>4589</v>
      </c>
      <c r="E1569" s="10" t="str">
        <f>HYPERLINK("https://twitter.com/SuarezRicardo/status/1062654888608522241","1062654888608522241")</f>
        <v>1062654888608522241</v>
      </c>
      <c r="F1569" s="11" t="s">
        <v>4440</v>
      </c>
      <c r="G1569" s="12"/>
      <c r="H1569" s="12"/>
      <c r="I1569" s="13">
        <v>0</v>
      </c>
      <c r="J1569" s="13">
        <v>1</v>
      </c>
      <c r="K1569" s="14" t="str">
        <f>HYPERLINK("http://twitter.com/download/iphone","Twitter for iPhone")</f>
        <v>Twitter for iPhone</v>
      </c>
      <c r="L1569" s="13">
        <v>4987</v>
      </c>
      <c r="M1569" s="13">
        <v>469</v>
      </c>
      <c r="N1569" s="13">
        <v>94</v>
      </c>
      <c r="O1569" s="15"/>
      <c r="P1569" s="6">
        <v>40496.894907407404</v>
      </c>
      <c r="Q1569" s="16" t="s">
        <v>4596</v>
      </c>
      <c r="R1569" s="17" t="s">
        <v>4598</v>
      </c>
      <c r="S1569" s="11" t="s">
        <v>4599</v>
      </c>
      <c r="T1569" s="12"/>
      <c r="U1569" s="10" t="str">
        <f>HYPERLINK("https://pbs.twimg.com/profile_images/666565335622008832/bfaWzm__.jpg","View")</f>
        <v>View</v>
      </c>
    </row>
    <row r="1570" spans="1:21" ht="13.2">
      <c r="A1570" s="6">
        <v>43418.473680555559</v>
      </c>
      <c r="B1570" s="7" t="str">
        <f t="shared" ref="B1570:B1571" si="430">HYPERLINK("https://twitter.com/lunadebenidorm","@lunadebenidorm")</f>
        <v>@lunadebenidorm</v>
      </c>
      <c r="C1570" s="8" t="s">
        <v>106</v>
      </c>
      <c r="D1570" s="9" t="s">
        <v>1740</v>
      </c>
      <c r="E1570" s="10" t="str">
        <f>HYPERLINK("https://twitter.com/lunadebenidorm/status/1062651882513018880","1062651882513018880")</f>
        <v>1062651882513018880</v>
      </c>
      <c r="F1570" s="12"/>
      <c r="G1570" s="11" t="s">
        <v>5016</v>
      </c>
      <c r="H1570" s="12"/>
      <c r="I1570" s="13">
        <v>1</v>
      </c>
      <c r="J1570" s="13">
        <v>0</v>
      </c>
      <c r="K1570" s="14" t="str">
        <f t="shared" ref="K1570:K1575" si="431">HYPERLINK("http://twitter.com/download/android","Twitter for Android")</f>
        <v>Twitter for Android</v>
      </c>
      <c r="L1570" s="13">
        <v>3991</v>
      </c>
      <c r="M1570" s="13">
        <v>3978</v>
      </c>
      <c r="N1570" s="13">
        <v>79</v>
      </c>
      <c r="O1570" s="15"/>
      <c r="P1570" s="6">
        <v>41461.81186342593</v>
      </c>
      <c r="Q1570" s="12"/>
      <c r="R1570" s="17" t="s">
        <v>108</v>
      </c>
      <c r="S1570" s="12"/>
      <c r="T1570" s="12"/>
      <c r="U1570" s="10" t="str">
        <f t="shared" ref="U1570:U1571" si="432">HYPERLINK("https://pbs.twimg.com/profile_images/1061229593758257153/rePCQt08.jpg","View")</f>
        <v>View</v>
      </c>
    </row>
    <row r="1571" spans="1:21" ht="30.6">
      <c r="A1571" s="6">
        <v>43418.473055555558</v>
      </c>
      <c r="B1571" s="7" t="str">
        <f t="shared" si="430"/>
        <v>@lunadebenidorm</v>
      </c>
      <c r="C1571" s="8" t="s">
        <v>106</v>
      </c>
      <c r="D1571" s="9" t="s">
        <v>5017</v>
      </c>
      <c r="E1571" s="10" t="str">
        <f>HYPERLINK("https://twitter.com/lunadebenidorm/status/1062651656586838016","1062651656586838016")</f>
        <v>1062651656586838016</v>
      </c>
      <c r="F1571" s="12"/>
      <c r="G1571" s="12"/>
      <c r="H1571" s="12"/>
      <c r="I1571" s="13">
        <v>1</v>
      </c>
      <c r="J1571" s="13">
        <v>3</v>
      </c>
      <c r="K1571" s="14" t="str">
        <f t="shared" si="431"/>
        <v>Twitter for Android</v>
      </c>
      <c r="L1571" s="13">
        <v>3991</v>
      </c>
      <c r="M1571" s="13">
        <v>3978</v>
      </c>
      <c r="N1571" s="13">
        <v>79</v>
      </c>
      <c r="O1571" s="15"/>
      <c r="P1571" s="6">
        <v>41461.81186342593</v>
      </c>
      <c r="Q1571" s="12"/>
      <c r="R1571" s="17" t="s">
        <v>108</v>
      </c>
      <c r="S1571" s="12"/>
      <c r="T1571" s="12"/>
      <c r="U1571" s="10" t="str">
        <f t="shared" si="432"/>
        <v>View</v>
      </c>
    </row>
    <row r="1572" spans="1:21" ht="102">
      <c r="A1572" s="6">
        <v>43418.47283564815</v>
      </c>
      <c r="B1572" s="7" t="str">
        <f>HYPERLINK("https://twitter.com/_23Sergio","@_23Sergio")</f>
        <v>@_23Sergio</v>
      </c>
      <c r="C1572" s="8" t="s">
        <v>4262</v>
      </c>
      <c r="D1572" s="9" t="s">
        <v>5018</v>
      </c>
      <c r="E1572" s="10" t="str">
        <f>HYPERLINK("https://twitter.com/_23Sergio/status/1062651577037660160","1062651577037660160")</f>
        <v>1062651577037660160</v>
      </c>
      <c r="F1572" s="11" t="s">
        <v>5019</v>
      </c>
      <c r="G1572" s="12"/>
      <c r="H1572" s="12"/>
      <c r="I1572" s="13">
        <v>0</v>
      </c>
      <c r="J1572" s="13">
        <v>1</v>
      </c>
      <c r="K1572" s="14" t="str">
        <f t="shared" si="431"/>
        <v>Twitter for Android</v>
      </c>
      <c r="L1572" s="13">
        <v>1051</v>
      </c>
      <c r="M1572" s="13">
        <v>1094</v>
      </c>
      <c r="N1572" s="13">
        <v>12</v>
      </c>
      <c r="O1572" s="15"/>
      <c r="P1572" s="6">
        <v>40503.781458333331</v>
      </c>
      <c r="Q1572" s="16" t="s">
        <v>4103</v>
      </c>
      <c r="R1572" s="17" t="s">
        <v>4265</v>
      </c>
      <c r="S1572" s="12"/>
      <c r="T1572" s="12"/>
      <c r="U1572" s="10" t="str">
        <f>HYPERLINK("https://pbs.twimg.com/profile_images/959348744822157312/wUGKBFb3.jpg","View")</f>
        <v>View</v>
      </c>
    </row>
    <row r="1573" spans="1:21" ht="30.6">
      <c r="A1573" s="6">
        <v>43418.468217592592</v>
      </c>
      <c r="B1573" s="7" t="str">
        <f>HYPERLINK("https://twitter.com/pallaron12","@pallaron12")</f>
        <v>@pallaron12</v>
      </c>
      <c r="C1573" s="8" t="s">
        <v>487</v>
      </c>
      <c r="D1573" s="9" t="s">
        <v>5493</v>
      </c>
      <c r="E1573" s="10" t="str">
        <f>HYPERLINK("https://twitter.com/pallaron12/status/1062649903707574273","1062649903707574273")</f>
        <v>1062649903707574273</v>
      </c>
      <c r="F1573" s="11" t="s">
        <v>5494</v>
      </c>
      <c r="G1573" s="12"/>
      <c r="H1573" s="12"/>
      <c r="I1573" s="13">
        <v>0</v>
      </c>
      <c r="J1573" s="13">
        <v>0</v>
      </c>
      <c r="K1573" s="14" t="str">
        <f t="shared" si="431"/>
        <v>Twitter for Android</v>
      </c>
      <c r="L1573" s="13">
        <v>1412</v>
      </c>
      <c r="M1573" s="13">
        <v>501</v>
      </c>
      <c r="N1573" s="13">
        <v>8</v>
      </c>
      <c r="O1573" s="15"/>
      <c r="P1573" s="6">
        <v>41854.66134259259</v>
      </c>
      <c r="Q1573" s="16" t="s">
        <v>491</v>
      </c>
      <c r="R1573" s="17" t="s">
        <v>492</v>
      </c>
      <c r="S1573" s="12"/>
      <c r="T1573" s="12"/>
      <c r="U1573" s="10" t="str">
        <f>HYPERLINK("https://pbs.twimg.com/profile_images/1064713832633896961/NkwZ7D9D.jpg","View")</f>
        <v>View</v>
      </c>
    </row>
    <row r="1574" spans="1:21" ht="30.6">
      <c r="A1574" s="6">
        <v>43418.466504629629</v>
      </c>
      <c r="B1574" s="7" t="str">
        <f>HYPERLINK("https://twitter.com/daniferfab","@daniferfab")</f>
        <v>@daniferfab</v>
      </c>
      <c r="C1574" s="8" t="s">
        <v>1048</v>
      </c>
      <c r="D1574" s="9" t="s">
        <v>5020</v>
      </c>
      <c r="E1574" s="10" t="str">
        <f>HYPERLINK("https://twitter.com/daniferfab/status/1062649283382558720","1062649283382558720")</f>
        <v>1062649283382558720</v>
      </c>
      <c r="F1574" s="11" t="s">
        <v>5021</v>
      </c>
      <c r="G1574" s="12"/>
      <c r="H1574" s="12"/>
      <c r="I1574" s="13">
        <v>0</v>
      </c>
      <c r="J1574" s="13">
        <v>0</v>
      </c>
      <c r="K1574" s="14" t="str">
        <f t="shared" si="431"/>
        <v>Twitter for Android</v>
      </c>
      <c r="L1574" s="13">
        <v>1182</v>
      </c>
      <c r="M1574" s="13">
        <v>1449</v>
      </c>
      <c r="N1574" s="13">
        <v>13</v>
      </c>
      <c r="O1574" s="15"/>
      <c r="P1574" s="6">
        <v>40531.983298611114</v>
      </c>
      <c r="Q1574" s="16" t="s">
        <v>1050</v>
      </c>
      <c r="R1574" s="17" t="s">
        <v>1051</v>
      </c>
      <c r="S1574" s="12"/>
      <c r="T1574" s="12"/>
      <c r="U1574" s="10" t="str">
        <f>HYPERLINK("https://pbs.twimg.com/profile_images/1054264908546822144/2KtQULFQ.jpg","View")</f>
        <v>View</v>
      </c>
    </row>
    <row r="1575" spans="1:21" ht="61.2">
      <c r="A1575" s="6">
        <v>43418.465497685189</v>
      </c>
      <c r="B1575" s="7" t="str">
        <f>HYPERLINK("https://twitter.com/Santi_ABASCAL","@Santi_ABASCAL")</f>
        <v>@Santi_ABASCAL</v>
      </c>
      <c r="C1575" s="8" t="s">
        <v>182</v>
      </c>
      <c r="D1575" s="9" t="s">
        <v>5495</v>
      </c>
      <c r="E1575" s="10" t="str">
        <f>HYPERLINK("https://twitter.com/Santi_ABASCAL/status/1062648916540301313","1062648916540301313")</f>
        <v>1062648916540301313</v>
      </c>
      <c r="F1575" s="11" t="s">
        <v>5496</v>
      </c>
      <c r="G1575" s="11" t="s">
        <v>5497</v>
      </c>
      <c r="H1575" s="12"/>
      <c r="I1575" s="13">
        <v>1338</v>
      </c>
      <c r="J1575" s="13">
        <v>2435</v>
      </c>
      <c r="K1575" s="14" t="str">
        <f t="shared" si="431"/>
        <v>Twitter for Android</v>
      </c>
      <c r="L1575" s="13">
        <v>117602</v>
      </c>
      <c r="M1575" s="13">
        <v>3896</v>
      </c>
      <c r="N1575" s="13">
        <v>915</v>
      </c>
      <c r="O1575" s="23" t="s">
        <v>186</v>
      </c>
      <c r="P1575" s="6">
        <v>40606.716446759259</v>
      </c>
      <c r="Q1575" s="16" t="s">
        <v>188</v>
      </c>
      <c r="R1575" s="17" t="s">
        <v>189</v>
      </c>
      <c r="S1575" s="11" t="s">
        <v>190</v>
      </c>
      <c r="T1575" s="12"/>
      <c r="U1575" s="10" t="str">
        <f>HYPERLINK("https://pbs.twimg.com/profile_images/1010488787686879232/2CnqYKlD.jpg","View")</f>
        <v>View</v>
      </c>
    </row>
    <row r="1576" spans="1:21" ht="51">
      <c r="A1576" s="6">
        <v>43418.459722222222</v>
      </c>
      <c r="B1576" s="7" t="str">
        <f t="shared" ref="B1576:B1577" si="433">HYPERLINK("https://twitter.com/bitMomentum","@bitMomentum")</f>
        <v>@bitMomentum</v>
      </c>
      <c r="C1576" s="8" t="s">
        <v>368</v>
      </c>
      <c r="D1576" s="9" t="s">
        <v>5024</v>
      </c>
      <c r="E1576" s="10" t="str">
        <f>HYPERLINK("https://twitter.com/bitMomentum/status/1062646822433406976","1062646822433406976")</f>
        <v>1062646822433406976</v>
      </c>
      <c r="F1576" s="12"/>
      <c r="G1576" s="12"/>
      <c r="H1576" s="12"/>
      <c r="I1576" s="13">
        <v>0</v>
      </c>
      <c r="J1576" s="13">
        <v>0</v>
      </c>
      <c r="K1576" s="14" t="str">
        <f t="shared" ref="K1576:K1577" si="434">HYPERLINK("http://www.bitmomentum.com","bitMomentum Bot")</f>
        <v>bitMomentum Bot</v>
      </c>
      <c r="L1576" s="13">
        <v>10132</v>
      </c>
      <c r="M1576" s="13">
        <v>1060</v>
      </c>
      <c r="N1576" s="13">
        <v>267</v>
      </c>
      <c r="O1576" s="15"/>
      <c r="P1576" s="6">
        <v>41608.667511574073</v>
      </c>
      <c r="Q1576" s="12"/>
      <c r="R1576" s="17" t="s">
        <v>371</v>
      </c>
      <c r="S1576" s="11" t="s">
        <v>372</v>
      </c>
      <c r="T1576" s="12"/>
      <c r="U1576" s="10" t="str">
        <f t="shared" ref="U1576:U1577" si="435">HYPERLINK("https://pbs.twimg.com/profile_images/378800000862185241/20ij2H3u.png","View")</f>
        <v>View</v>
      </c>
    </row>
    <row r="1577" spans="1:21" ht="51">
      <c r="A1577" s="6">
        <v>43418.459027777775</v>
      </c>
      <c r="B1577" s="7" t="str">
        <f t="shared" si="433"/>
        <v>@bitMomentum</v>
      </c>
      <c r="C1577" s="8" t="s">
        <v>368</v>
      </c>
      <c r="D1577" s="9" t="s">
        <v>5026</v>
      </c>
      <c r="E1577" s="10" t="str">
        <f>HYPERLINK("https://twitter.com/bitMomentum/status/1062646570775207936","1062646570775207936")</f>
        <v>1062646570775207936</v>
      </c>
      <c r="F1577" s="12"/>
      <c r="G1577" s="12"/>
      <c r="H1577" s="12"/>
      <c r="I1577" s="13">
        <v>0</v>
      </c>
      <c r="J1577" s="13">
        <v>0</v>
      </c>
      <c r="K1577" s="14" t="str">
        <f t="shared" si="434"/>
        <v>bitMomentum Bot</v>
      </c>
      <c r="L1577" s="13">
        <v>10132</v>
      </c>
      <c r="M1577" s="13">
        <v>1060</v>
      </c>
      <c r="N1577" s="13">
        <v>267</v>
      </c>
      <c r="O1577" s="15"/>
      <c r="P1577" s="6">
        <v>41608.667511574073</v>
      </c>
      <c r="Q1577" s="12"/>
      <c r="R1577" s="17" t="s">
        <v>371</v>
      </c>
      <c r="S1577" s="11" t="s">
        <v>372</v>
      </c>
      <c r="T1577" s="12"/>
      <c r="U1577" s="10" t="str">
        <f t="shared" si="435"/>
        <v>View</v>
      </c>
    </row>
    <row r="1578" spans="1:21" ht="30.6">
      <c r="A1578" s="6">
        <v>43418.448935185181</v>
      </c>
      <c r="B1578" s="7" t="str">
        <f>HYPERLINK("https://twitter.com/Vox_Murcia","@Vox_Murcia")</f>
        <v>@Vox_Murcia</v>
      </c>
      <c r="C1578" s="8" t="s">
        <v>3374</v>
      </c>
      <c r="D1578" s="9" t="s">
        <v>5027</v>
      </c>
      <c r="E1578" s="10" t="str">
        <f>HYPERLINK("https://twitter.com/Vox_Murcia/status/1062642915585994752","1062642915585994752")</f>
        <v>1062642915585994752</v>
      </c>
      <c r="F1578" s="12"/>
      <c r="G1578" s="11" t="s">
        <v>5028</v>
      </c>
      <c r="H1578" s="12"/>
      <c r="I1578" s="13">
        <v>24</v>
      </c>
      <c r="J1578" s="13">
        <v>42</v>
      </c>
      <c r="K1578" s="14" t="str">
        <f t="shared" ref="K1578:K1579" si="436">HYPERLINK("http://twitter.com","Twitter Web Client")</f>
        <v>Twitter Web Client</v>
      </c>
      <c r="L1578" s="13">
        <v>3081</v>
      </c>
      <c r="M1578" s="13">
        <v>3585</v>
      </c>
      <c r="N1578" s="13">
        <v>45</v>
      </c>
      <c r="O1578" s="15"/>
      <c r="P1578" s="6">
        <v>41706.990370370375</v>
      </c>
      <c r="Q1578" s="16" t="s">
        <v>3376</v>
      </c>
      <c r="R1578" s="17" t="s">
        <v>3377</v>
      </c>
      <c r="S1578" s="11" t="s">
        <v>187</v>
      </c>
      <c r="T1578" s="12"/>
      <c r="U1578" s="10" t="str">
        <f>HYPERLINK("https://pbs.twimg.com/profile_images/1007020887571419136/2qcNDfwR.jpg","View")</f>
        <v>View</v>
      </c>
    </row>
    <row r="1579" spans="1:21" ht="40.799999999999997">
      <c r="A1579" s="6">
        <v>43418.448136574079</v>
      </c>
      <c r="B1579" s="7" t="str">
        <f>HYPERLINK("https://twitter.com/danny_redrum","@danny_redrum")</f>
        <v>@danny_redrum</v>
      </c>
      <c r="C1579" s="8" t="s">
        <v>5498</v>
      </c>
      <c r="D1579" s="9" t="s">
        <v>5499</v>
      </c>
      <c r="E1579" s="10" t="str">
        <f>HYPERLINK("https://twitter.com/danny_redrum/status/1062642624643940353","1062642624643940353")</f>
        <v>1062642624643940353</v>
      </c>
      <c r="F1579" s="16" t="s">
        <v>5500</v>
      </c>
      <c r="G1579" s="12"/>
      <c r="H1579" s="12"/>
      <c r="I1579" s="13">
        <v>0</v>
      </c>
      <c r="J1579" s="13">
        <v>1</v>
      </c>
      <c r="K1579" s="14" t="str">
        <f t="shared" si="436"/>
        <v>Twitter Web Client</v>
      </c>
      <c r="L1579" s="13">
        <v>1444</v>
      </c>
      <c r="M1579" s="13">
        <v>1631</v>
      </c>
      <c r="N1579" s="13">
        <v>42</v>
      </c>
      <c r="O1579" s="15"/>
      <c r="P1579" s="6">
        <v>40452.554895833331</v>
      </c>
      <c r="Q1579" s="16" t="s">
        <v>5501</v>
      </c>
      <c r="R1579" s="17" t="s">
        <v>5502</v>
      </c>
      <c r="S1579" s="11" t="s">
        <v>5503</v>
      </c>
      <c r="T1579" s="12"/>
      <c r="U1579" s="10" t="str">
        <f>HYPERLINK("https://pbs.twimg.com/profile_images/1031811078504759296/ruO0SLHM.jpg","View")</f>
        <v>View</v>
      </c>
    </row>
    <row r="1580" spans="1:21" ht="13.2">
      <c r="A1580" s="6">
        <v>43418.444826388892</v>
      </c>
      <c r="B1580" s="7" t="str">
        <f>HYPERLINK("https://twitter.com/Santi_ABASCAL","@Santi_ABASCAL")</f>
        <v>@Santi_ABASCAL</v>
      </c>
      <c r="C1580" s="8" t="s">
        <v>182</v>
      </c>
      <c r="D1580" s="9" t="s">
        <v>5504</v>
      </c>
      <c r="E1580" s="10" t="str">
        <f>HYPERLINK("https://twitter.com/Santi_ABASCAL/status/1062641424334839810","1062641424334839810")</f>
        <v>1062641424334839810</v>
      </c>
      <c r="F1580" s="12"/>
      <c r="G1580" s="11" t="s">
        <v>4998</v>
      </c>
      <c r="H1580" s="12"/>
      <c r="I1580" s="13">
        <v>956</v>
      </c>
      <c r="J1580" s="13">
        <v>2437</v>
      </c>
      <c r="K1580" s="14" t="str">
        <f>HYPERLINK("http://twitter.com/download/android","Twitter for Android")</f>
        <v>Twitter for Android</v>
      </c>
      <c r="L1580" s="13">
        <v>117602</v>
      </c>
      <c r="M1580" s="13">
        <v>3896</v>
      </c>
      <c r="N1580" s="13">
        <v>915</v>
      </c>
      <c r="O1580" s="23" t="s">
        <v>186</v>
      </c>
      <c r="P1580" s="6">
        <v>40606.716446759259</v>
      </c>
      <c r="Q1580" s="16" t="s">
        <v>188</v>
      </c>
      <c r="R1580" s="17" t="s">
        <v>189</v>
      </c>
      <c r="S1580" s="11" t="s">
        <v>190</v>
      </c>
      <c r="T1580" s="12"/>
      <c r="U1580" s="10" t="str">
        <f>HYPERLINK("https://pbs.twimg.com/profile_images/1010488787686879232/2CnqYKlD.jpg","View")</f>
        <v>View</v>
      </c>
    </row>
    <row r="1581" spans="1:21" ht="30.6">
      <c r="A1581" s="6">
        <v>43418.438634259262</v>
      </c>
      <c r="B1581" s="7" t="str">
        <f>HYPERLINK("https://twitter.com/daviddrh","@daviddrh")</f>
        <v>@daviddrh</v>
      </c>
      <c r="C1581" s="8" t="s">
        <v>5031</v>
      </c>
      <c r="D1581" s="9" t="s">
        <v>5032</v>
      </c>
      <c r="E1581" s="10" t="str">
        <f>HYPERLINK("https://twitter.com/daviddrh/status/1062639183280459777","1062639183280459777")</f>
        <v>1062639183280459777</v>
      </c>
      <c r="F1581" s="12"/>
      <c r="G1581" s="12"/>
      <c r="H1581" s="12"/>
      <c r="I1581" s="13">
        <v>0</v>
      </c>
      <c r="J1581" s="13">
        <v>0</v>
      </c>
      <c r="K1581" s="14" t="str">
        <f>HYPERLINK("http://twitter.com/download/iphone","Twitter for iPhone")</f>
        <v>Twitter for iPhone</v>
      </c>
      <c r="L1581" s="13">
        <v>68</v>
      </c>
      <c r="M1581" s="13">
        <v>168</v>
      </c>
      <c r="N1581" s="13">
        <v>1</v>
      </c>
      <c r="O1581" s="15"/>
      <c r="P1581" s="6">
        <v>40085.727812500001</v>
      </c>
      <c r="Q1581" s="16" t="s">
        <v>5033</v>
      </c>
      <c r="R1581" s="21"/>
      <c r="S1581" s="12"/>
      <c r="T1581" s="12"/>
      <c r="U1581" s="10" t="str">
        <f>HYPERLINK("https://pbs.twimg.com/profile_images/973280611099168774/gkWy4Mjo.jpg","View")</f>
        <v>View</v>
      </c>
    </row>
    <row r="1582" spans="1:21" ht="30.6">
      <c r="A1582" s="6">
        <v>43418.436377314814</v>
      </c>
      <c r="B1582" s="7" t="str">
        <f>HYPERLINK("https://twitter.com/MLopeReloaded","@MLopeReloaded")</f>
        <v>@MLopeReloaded</v>
      </c>
      <c r="C1582" s="8" t="s">
        <v>5034</v>
      </c>
      <c r="D1582" s="9" t="s">
        <v>5035</v>
      </c>
      <c r="E1582" s="10" t="str">
        <f>HYPERLINK("https://twitter.com/MLopeReloaded/status/1062638365726724096","1062638365726724096")</f>
        <v>1062638365726724096</v>
      </c>
      <c r="F1582" s="11" t="s">
        <v>5036</v>
      </c>
      <c r="G1582" s="12"/>
      <c r="H1582" s="12"/>
      <c r="I1582" s="13">
        <v>0</v>
      </c>
      <c r="J1582" s="13">
        <v>0</v>
      </c>
      <c r="K1582" s="14" t="str">
        <f t="shared" ref="K1582:K1584" si="437">HYPERLINK("http://twitter.com/download/android","Twitter for Android")</f>
        <v>Twitter for Android</v>
      </c>
      <c r="L1582" s="13">
        <v>44</v>
      </c>
      <c r="M1582" s="13">
        <v>110</v>
      </c>
      <c r="N1582" s="13">
        <v>0</v>
      </c>
      <c r="O1582" s="15"/>
      <c r="P1582" s="6">
        <v>42860.796099537038</v>
      </c>
      <c r="Q1582" s="16" t="s">
        <v>5037</v>
      </c>
      <c r="R1582" s="17" t="s">
        <v>5038</v>
      </c>
      <c r="S1582" s="12"/>
      <c r="T1582" s="12"/>
      <c r="U1582" s="10" t="str">
        <f>HYPERLINK("https://pbs.twimg.com/profile_images/1061749024817115136/R3OylOGT.jpg","View")</f>
        <v>View</v>
      </c>
    </row>
    <row r="1583" spans="1:21" ht="30.6">
      <c r="A1583" s="6">
        <v>43418.424930555557</v>
      </c>
      <c r="B1583" s="7" t="str">
        <f>HYPERLINK("https://twitter.com/paufr21","@paufr21")</f>
        <v>@paufr21</v>
      </c>
      <c r="C1583" s="8" t="s">
        <v>5039</v>
      </c>
      <c r="D1583" s="9" t="s">
        <v>5040</v>
      </c>
      <c r="E1583" s="10" t="str">
        <f>HYPERLINK("https://twitter.com/paufr21/status/1062634214284255234","1062634214284255234")</f>
        <v>1062634214284255234</v>
      </c>
      <c r="F1583" s="12"/>
      <c r="G1583" s="12"/>
      <c r="H1583" s="12"/>
      <c r="I1583" s="13">
        <v>0</v>
      </c>
      <c r="J1583" s="13">
        <v>0</v>
      </c>
      <c r="K1583" s="14" t="str">
        <f t="shared" si="437"/>
        <v>Twitter for Android</v>
      </c>
      <c r="L1583" s="13">
        <v>59</v>
      </c>
      <c r="M1583" s="13">
        <v>200</v>
      </c>
      <c r="N1583" s="13">
        <v>0</v>
      </c>
      <c r="O1583" s="15"/>
      <c r="P1583" s="6">
        <v>42383.938877314809</v>
      </c>
      <c r="Q1583" s="16" t="s">
        <v>5041</v>
      </c>
      <c r="R1583" s="17" t="s">
        <v>5042</v>
      </c>
      <c r="S1583" s="12"/>
      <c r="T1583" s="12"/>
      <c r="U1583" s="10" t="str">
        <f>HYPERLINK("https://pbs.twimg.com/profile_images/689743737619091457/zx1bMLsr.jpg","View")</f>
        <v>View</v>
      </c>
    </row>
    <row r="1584" spans="1:21" ht="61.2">
      <c r="A1584" s="6">
        <v>43418.419895833329</v>
      </c>
      <c r="B1584" s="7" t="str">
        <f>HYPERLINK("https://twitter.com/angeltxele","@angeltxele")</f>
        <v>@angeltxele</v>
      </c>
      <c r="C1584" s="8" t="s">
        <v>5043</v>
      </c>
      <c r="D1584" s="9" t="s">
        <v>5044</v>
      </c>
      <c r="E1584" s="10" t="str">
        <f>HYPERLINK("https://twitter.com/angeltxele/status/1062632391464927232","1062632391464927232")</f>
        <v>1062632391464927232</v>
      </c>
      <c r="F1584" s="12"/>
      <c r="G1584" s="12"/>
      <c r="H1584" s="12"/>
      <c r="I1584" s="13">
        <v>0</v>
      </c>
      <c r="J1584" s="13">
        <v>1</v>
      </c>
      <c r="K1584" s="14" t="str">
        <f t="shared" si="437"/>
        <v>Twitter for Android</v>
      </c>
      <c r="L1584" s="13">
        <v>1731</v>
      </c>
      <c r="M1584" s="13">
        <v>743</v>
      </c>
      <c r="N1584" s="13">
        <v>22</v>
      </c>
      <c r="O1584" s="15"/>
      <c r="P1584" s="6">
        <v>41683.928414351853</v>
      </c>
      <c r="Q1584" s="12"/>
      <c r="R1584" s="17" t="s">
        <v>5045</v>
      </c>
      <c r="S1584" s="12"/>
      <c r="T1584" s="12"/>
      <c r="U1584" s="10" t="str">
        <f>HYPERLINK("https://pbs.twimg.com/profile_images/1030219252970803200/VKfYnL-p.jpg","View")</f>
        <v>View</v>
      </c>
    </row>
    <row r="1585" spans="1:21" ht="51">
      <c r="A1585" s="6">
        <v>43418.41805555555</v>
      </c>
      <c r="B1585" s="7" t="str">
        <f t="shared" ref="B1585:B1586" si="438">HYPERLINK("https://twitter.com/bitMomentum","@bitMomentum")</f>
        <v>@bitMomentum</v>
      </c>
      <c r="C1585" s="8" t="s">
        <v>368</v>
      </c>
      <c r="D1585" s="9" t="s">
        <v>5046</v>
      </c>
      <c r="E1585" s="10" t="str">
        <f>HYPERLINK("https://twitter.com/bitMomentum/status/1062631723035516928","1062631723035516928")</f>
        <v>1062631723035516928</v>
      </c>
      <c r="F1585" s="12"/>
      <c r="G1585" s="12"/>
      <c r="H1585" s="12"/>
      <c r="I1585" s="13">
        <v>0</v>
      </c>
      <c r="J1585" s="13">
        <v>0</v>
      </c>
      <c r="K1585" s="14" t="str">
        <f t="shared" ref="K1585:K1586" si="439">HYPERLINK("http://www.bitmomentum.com","bitMomentum Bot")</f>
        <v>bitMomentum Bot</v>
      </c>
      <c r="L1585" s="13">
        <v>10132</v>
      </c>
      <c r="M1585" s="13">
        <v>1060</v>
      </c>
      <c r="N1585" s="13">
        <v>267</v>
      </c>
      <c r="O1585" s="15"/>
      <c r="P1585" s="6">
        <v>41608.667511574073</v>
      </c>
      <c r="Q1585" s="12"/>
      <c r="R1585" s="17" t="s">
        <v>371</v>
      </c>
      <c r="S1585" s="11" t="s">
        <v>372</v>
      </c>
      <c r="T1585" s="12"/>
      <c r="U1585" s="10" t="str">
        <f t="shared" ref="U1585:U1586" si="440">HYPERLINK("https://pbs.twimg.com/profile_images/378800000862185241/20ij2H3u.png","View")</f>
        <v>View</v>
      </c>
    </row>
    <row r="1586" spans="1:21" ht="51">
      <c r="A1586" s="6">
        <v>43418.417361111111</v>
      </c>
      <c r="B1586" s="7" t="str">
        <f t="shared" si="438"/>
        <v>@bitMomentum</v>
      </c>
      <c r="C1586" s="8" t="s">
        <v>368</v>
      </c>
      <c r="D1586" s="9" t="s">
        <v>5047</v>
      </c>
      <c r="E1586" s="10" t="str">
        <f>HYPERLINK("https://twitter.com/bitMomentum/status/1062631471352029185","1062631471352029185")</f>
        <v>1062631471352029185</v>
      </c>
      <c r="F1586" s="12"/>
      <c r="G1586" s="12"/>
      <c r="H1586" s="12"/>
      <c r="I1586" s="13">
        <v>0</v>
      </c>
      <c r="J1586" s="13">
        <v>1</v>
      </c>
      <c r="K1586" s="14" t="str">
        <f t="shared" si="439"/>
        <v>bitMomentum Bot</v>
      </c>
      <c r="L1586" s="13">
        <v>10132</v>
      </c>
      <c r="M1586" s="13">
        <v>1060</v>
      </c>
      <c r="N1586" s="13">
        <v>267</v>
      </c>
      <c r="O1586" s="15"/>
      <c r="P1586" s="6">
        <v>41608.667511574073</v>
      </c>
      <c r="Q1586" s="12"/>
      <c r="R1586" s="17" t="s">
        <v>371</v>
      </c>
      <c r="S1586" s="11" t="s">
        <v>372</v>
      </c>
      <c r="T1586" s="12"/>
      <c r="U1586" s="10" t="str">
        <f t="shared" si="440"/>
        <v>View</v>
      </c>
    </row>
    <row r="1587" spans="1:21" ht="30.6">
      <c r="A1587" s="6">
        <v>43418.415451388893</v>
      </c>
      <c r="B1587" s="7" t="str">
        <f>HYPERLINK("https://twitter.com/ddia7940","@ddia7940")</f>
        <v>@ddia7940</v>
      </c>
      <c r="C1587" s="8" t="s">
        <v>5048</v>
      </c>
      <c r="D1587" s="9" t="s">
        <v>5049</v>
      </c>
      <c r="E1587" s="10" t="str">
        <f>HYPERLINK("https://twitter.com/ddia7940/status/1062630780315336706","1062630780315336706")</f>
        <v>1062630780315336706</v>
      </c>
      <c r="F1587" s="11" t="s">
        <v>4836</v>
      </c>
      <c r="G1587" s="12"/>
      <c r="H1587" s="12"/>
      <c r="I1587" s="13">
        <v>0</v>
      </c>
      <c r="J1587" s="13">
        <v>1</v>
      </c>
      <c r="K1587" s="14" t="str">
        <f t="shared" ref="K1587:K1588" si="441">HYPERLINK("http://twitter.com/download/android","Twitter for Android")</f>
        <v>Twitter for Android</v>
      </c>
      <c r="L1587" s="13">
        <v>1382</v>
      </c>
      <c r="M1587" s="13">
        <v>1330</v>
      </c>
      <c r="N1587" s="13">
        <v>8</v>
      </c>
      <c r="O1587" s="15"/>
      <c r="P1587" s="6">
        <v>42351.481620370367</v>
      </c>
      <c r="Q1587" s="12"/>
      <c r="R1587" s="21"/>
      <c r="S1587" s="12"/>
      <c r="T1587" s="12"/>
      <c r="U1587" s="10" t="str">
        <f>HYPERLINK("https://pbs.twimg.com/profile_images/913022231369981952/zUk4v7qd.jpg","View")</f>
        <v>View</v>
      </c>
    </row>
    <row r="1588" spans="1:21" ht="51">
      <c r="A1588" s="6">
        <v>43418.41270833333</v>
      </c>
      <c r="B1588" s="7" t="str">
        <f>HYPERLINK("https://twitter.com/anaglez1961","@anaglez1961")</f>
        <v>@anaglez1961</v>
      </c>
      <c r="C1588" s="8" t="s">
        <v>5050</v>
      </c>
      <c r="D1588" s="9" t="s">
        <v>5051</v>
      </c>
      <c r="E1588" s="10" t="str">
        <f>HYPERLINK("https://twitter.com/anaglez1961/status/1062629787355791360","1062629787355791360")</f>
        <v>1062629787355791360</v>
      </c>
      <c r="F1588" s="12"/>
      <c r="G1588" s="11" t="s">
        <v>5052</v>
      </c>
      <c r="H1588" s="12"/>
      <c r="I1588" s="13">
        <v>0</v>
      </c>
      <c r="J1588" s="13">
        <v>0</v>
      </c>
      <c r="K1588" s="14" t="str">
        <f t="shared" si="441"/>
        <v>Twitter for Android</v>
      </c>
      <c r="L1588" s="13">
        <v>312</v>
      </c>
      <c r="M1588" s="13">
        <v>1006</v>
      </c>
      <c r="N1588" s="13">
        <v>5</v>
      </c>
      <c r="O1588" s="15"/>
      <c r="P1588" s="6">
        <v>40643.732395833329</v>
      </c>
      <c r="Q1588" s="16" t="s">
        <v>5053</v>
      </c>
      <c r="R1588" s="21"/>
      <c r="S1588" s="12"/>
      <c r="T1588" s="12"/>
      <c r="U1588" s="10" t="str">
        <f>HYPERLINK("https://pbs.twimg.com/profile_images/970731878302011392/LI01m1lh.jpg","View")</f>
        <v>View</v>
      </c>
    </row>
    <row r="1589" spans="1:21" ht="30.6">
      <c r="A1589" s="6">
        <v>43418.411099537036</v>
      </c>
      <c r="B1589" s="7" t="str">
        <f>HYPERLINK("https://twitter.com/vox_alcoi","@vox_alcoi")</f>
        <v>@vox_alcoi</v>
      </c>
      <c r="C1589" s="8" t="s">
        <v>2040</v>
      </c>
      <c r="D1589" s="9" t="s">
        <v>5505</v>
      </c>
      <c r="E1589" s="10" t="str">
        <f>HYPERLINK("https://twitter.com/vox_alcoi/status/1062629205664563201","1062629205664563201")</f>
        <v>1062629205664563201</v>
      </c>
      <c r="F1589" s="12"/>
      <c r="G1589" s="11" t="s">
        <v>5506</v>
      </c>
      <c r="H1589" s="12"/>
      <c r="I1589" s="13">
        <v>1</v>
      </c>
      <c r="J1589" s="13">
        <v>3</v>
      </c>
      <c r="K1589" s="14" t="str">
        <f>HYPERLINK("https://about.twitter.com/products/tweetdeck","TweetDeck")</f>
        <v>TweetDeck</v>
      </c>
      <c r="L1589" s="13">
        <v>1026</v>
      </c>
      <c r="M1589" s="13">
        <v>309</v>
      </c>
      <c r="N1589" s="13">
        <v>8</v>
      </c>
      <c r="O1589" s="15"/>
      <c r="P1589" s="6">
        <v>42548.516863425924</v>
      </c>
      <c r="Q1589" s="16" t="s">
        <v>2043</v>
      </c>
      <c r="R1589" s="17" t="s">
        <v>2044</v>
      </c>
      <c r="S1589" s="11" t="s">
        <v>2045</v>
      </c>
      <c r="T1589" s="12"/>
      <c r="U1589" s="10" t="str">
        <f>HYPERLINK("https://pbs.twimg.com/profile_images/1037104063266140166/FT5XmrFT.jpg","View")</f>
        <v>View</v>
      </c>
    </row>
    <row r="1590" spans="1:21" ht="30.6">
      <c r="A1590" s="6">
        <v>43418.40788194444</v>
      </c>
      <c r="B1590" s="7" t="str">
        <f>HYPERLINK("https://twitter.com/amigosdevoxcant","@amigosdevoxcant")</f>
        <v>@amigosdevoxcant</v>
      </c>
      <c r="C1590" s="8" t="s">
        <v>5054</v>
      </c>
      <c r="D1590" s="9" t="s">
        <v>5055</v>
      </c>
      <c r="E1590" s="10" t="str">
        <f>HYPERLINK("https://twitter.com/amigosdevoxcant/status/1062628039266369536","1062628039266369536")</f>
        <v>1062628039266369536</v>
      </c>
      <c r="F1590" s="11" t="s">
        <v>5056</v>
      </c>
      <c r="G1590" s="12"/>
      <c r="H1590" s="12"/>
      <c r="I1590" s="13">
        <v>0</v>
      </c>
      <c r="J1590" s="13">
        <v>0</v>
      </c>
      <c r="K1590" s="14" t="str">
        <f t="shared" ref="K1590:K1591" si="442">HYPERLINK("http://twitter.com","Twitter Web Client")</f>
        <v>Twitter Web Client</v>
      </c>
      <c r="L1590" s="13">
        <v>30</v>
      </c>
      <c r="M1590" s="13">
        <v>168</v>
      </c>
      <c r="N1590" s="13">
        <v>0</v>
      </c>
      <c r="O1590" s="15"/>
      <c r="P1590" s="6">
        <v>43327.02820601852</v>
      </c>
      <c r="Q1590" s="16" t="s">
        <v>4026</v>
      </c>
      <c r="R1590" s="17" t="s">
        <v>5057</v>
      </c>
      <c r="S1590" s="11" t="s">
        <v>5058</v>
      </c>
      <c r="T1590" s="12"/>
      <c r="U1590" s="10" t="str">
        <f>HYPERLINK("https://pbs.twimg.com/profile_images/1062524372043350016/13f1oJ4-.jpg","View")</f>
        <v>View</v>
      </c>
    </row>
    <row r="1591" spans="1:21" ht="40.799999999999997">
      <c r="A1591" s="6">
        <v>43418.38145833333</v>
      </c>
      <c r="B1591" s="7" t="str">
        <f>HYPERLINK("https://twitter.com/chuchicharra","@chuchicharra")</f>
        <v>@chuchicharra</v>
      </c>
      <c r="C1591" s="8" t="s">
        <v>5059</v>
      </c>
      <c r="D1591" s="9" t="s">
        <v>5060</v>
      </c>
      <c r="E1591" s="10" t="str">
        <f>HYPERLINK("https://twitter.com/chuchicharra/status/1062618462038712320","1062618462038712320")</f>
        <v>1062618462038712320</v>
      </c>
      <c r="F1591" s="12"/>
      <c r="G1591" s="12"/>
      <c r="H1591" s="12"/>
      <c r="I1591" s="13">
        <v>0</v>
      </c>
      <c r="J1591" s="13">
        <v>1</v>
      </c>
      <c r="K1591" s="14" t="str">
        <f t="shared" si="442"/>
        <v>Twitter Web Client</v>
      </c>
      <c r="L1591" s="13">
        <v>2965</v>
      </c>
      <c r="M1591" s="13">
        <v>2721</v>
      </c>
      <c r="N1591" s="13">
        <v>29</v>
      </c>
      <c r="O1591" s="15"/>
      <c r="P1591" s="6">
        <v>40709.431643518517</v>
      </c>
      <c r="Q1591" s="16" t="s">
        <v>5061</v>
      </c>
      <c r="R1591" s="17" t="s">
        <v>5062</v>
      </c>
      <c r="S1591" s="12"/>
      <c r="T1591" s="12"/>
      <c r="U1591" s="10" t="str">
        <f>HYPERLINK("https://pbs.twimg.com/profile_images/1056813208500084736/sDrB-J_a.jpg","View")</f>
        <v>View</v>
      </c>
    </row>
    <row r="1592" spans="1:21" ht="30.6">
      <c r="A1592" s="6">
        <v>43418.379699074074</v>
      </c>
      <c r="B1592" s="7" t="str">
        <f>HYPERLINK("https://twitter.com/GLADIATOR_LIBRE","@GLADIATOR_LIBRE")</f>
        <v>@GLADIATOR_LIBRE</v>
      </c>
      <c r="C1592" s="8" t="s">
        <v>5063</v>
      </c>
      <c r="D1592" s="9" t="s">
        <v>5064</v>
      </c>
      <c r="E1592" s="10" t="str">
        <f>HYPERLINK("https://twitter.com/GLADIATOR_LIBRE/status/1062617822667423744","1062617822667423744")</f>
        <v>1062617822667423744</v>
      </c>
      <c r="F1592" s="11" t="s">
        <v>4440</v>
      </c>
      <c r="G1592" s="12"/>
      <c r="H1592" s="12"/>
      <c r="I1592" s="13">
        <v>0</v>
      </c>
      <c r="J1592" s="13">
        <v>0</v>
      </c>
      <c r="K1592" s="14" t="str">
        <f>HYPERLINK("http://twitter.com/download/android","Twitter for Android")</f>
        <v>Twitter for Android</v>
      </c>
      <c r="L1592" s="13">
        <v>843</v>
      </c>
      <c r="M1592" s="13">
        <v>1381</v>
      </c>
      <c r="N1592" s="13">
        <v>17</v>
      </c>
      <c r="O1592" s="15"/>
      <c r="P1592" s="6">
        <v>42220.674930555557</v>
      </c>
      <c r="Q1592" s="16" t="s">
        <v>188</v>
      </c>
      <c r="R1592" s="17" t="s">
        <v>5065</v>
      </c>
      <c r="S1592" s="11" t="s">
        <v>1055</v>
      </c>
      <c r="T1592" s="12"/>
      <c r="U1592" s="10" t="str">
        <f>HYPERLINK("https://pbs.twimg.com/profile_images/802803845663522816/5jzOXYZU.jpg","View")</f>
        <v>View</v>
      </c>
    </row>
    <row r="1593" spans="1:21" ht="61.2">
      <c r="A1593" s="6">
        <v>43418.378217592588</v>
      </c>
      <c r="B1593" s="7" t="str">
        <f>HYPERLINK("https://twitter.com/pasionxespana","@pasionxespana")</f>
        <v>@pasionxespana</v>
      </c>
      <c r="C1593" s="8" t="s">
        <v>4256</v>
      </c>
      <c r="D1593" s="9" t="s">
        <v>5507</v>
      </c>
      <c r="E1593" s="10" t="str">
        <f>HYPERLINK("https://twitter.com/pasionxespana/status/1062617287465881601","1062617287465881601")</f>
        <v>1062617287465881601</v>
      </c>
      <c r="F1593" s="12"/>
      <c r="G1593" s="11" t="s">
        <v>5508</v>
      </c>
      <c r="H1593" s="12"/>
      <c r="I1593" s="13">
        <v>0</v>
      </c>
      <c r="J1593" s="13">
        <v>0</v>
      </c>
      <c r="K1593" s="14" t="str">
        <f>HYPERLINK("https://ifttt.com","IFTTT")</f>
        <v>IFTTT</v>
      </c>
      <c r="L1593" s="13">
        <v>1826</v>
      </c>
      <c r="M1593" s="13">
        <v>3028</v>
      </c>
      <c r="N1593" s="13">
        <v>40</v>
      </c>
      <c r="O1593" s="15"/>
      <c r="P1593" s="6">
        <v>42607.629606481481</v>
      </c>
      <c r="Q1593" s="12"/>
      <c r="R1593" s="17" t="s">
        <v>4259</v>
      </c>
      <c r="S1593" s="11" t="s">
        <v>4260</v>
      </c>
      <c r="T1593" s="12"/>
      <c r="U1593" s="10" t="str">
        <f>HYPERLINK("https://pbs.twimg.com/profile_images/903227976258551808/C6YEfbP_.jpg","View")</f>
        <v>View</v>
      </c>
    </row>
    <row r="1594" spans="1:21" ht="40.799999999999997">
      <c r="A1594" s="6">
        <v>43418.376388888893</v>
      </c>
      <c r="B1594" s="7" t="str">
        <f t="shared" ref="B1594:B1595" si="443">HYPERLINK("https://twitter.com/bitMomentum","@bitMomentum")</f>
        <v>@bitMomentum</v>
      </c>
      <c r="C1594" s="8" t="s">
        <v>368</v>
      </c>
      <c r="D1594" s="9" t="s">
        <v>5066</v>
      </c>
      <c r="E1594" s="10" t="str">
        <f>HYPERLINK("https://twitter.com/bitMomentum/status/1062616623486550016","1062616623486550016")</f>
        <v>1062616623486550016</v>
      </c>
      <c r="F1594" s="12"/>
      <c r="G1594" s="12"/>
      <c r="H1594" s="12"/>
      <c r="I1594" s="13">
        <v>0</v>
      </c>
      <c r="J1594" s="13">
        <v>0</v>
      </c>
      <c r="K1594" s="14" t="str">
        <f t="shared" ref="K1594:K1595" si="444">HYPERLINK("http://www.bitmomentum.com","bitMomentum Bot")</f>
        <v>bitMomentum Bot</v>
      </c>
      <c r="L1594" s="13">
        <v>10132</v>
      </c>
      <c r="M1594" s="13">
        <v>1060</v>
      </c>
      <c r="N1594" s="13">
        <v>267</v>
      </c>
      <c r="O1594" s="15"/>
      <c r="P1594" s="6">
        <v>41608.667511574073</v>
      </c>
      <c r="Q1594" s="12"/>
      <c r="R1594" s="17" t="s">
        <v>371</v>
      </c>
      <c r="S1594" s="11" t="s">
        <v>372</v>
      </c>
      <c r="T1594" s="12"/>
      <c r="U1594" s="10" t="str">
        <f t="shared" ref="U1594:U1595" si="445">HYPERLINK("https://pbs.twimg.com/profile_images/378800000862185241/20ij2H3u.png","View")</f>
        <v>View</v>
      </c>
    </row>
    <row r="1595" spans="1:21" ht="51">
      <c r="A1595" s="6">
        <v>43418.375694444447</v>
      </c>
      <c r="B1595" s="7" t="str">
        <f t="shared" si="443"/>
        <v>@bitMomentum</v>
      </c>
      <c r="C1595" s="8" t="s">
        <v>368</v>
      </c>
      <c r="D1595" s="9" t="s">
        <v>5067</v>
      </c>
      <c r="E1595" s="10" t="str">
        <f>HYPERLINK("https://twitter.com/bitMomentum/status/1062616371790528512","1062616371790528512")</f>
        <v>1062616371790528512</v>
      </c>
      <c r="F1595" s="12"/>
      <c r="G1595" s="12"/>
      <c r="H1595" s="12"/>
      <c r="I1595" s="13">
        <v>0</v>
      </c>
      <c r="J1595" s="13">
        <v>0</v>
      </c>
      <c r="K1595" s="14" t="str">
        <f t="shared" si="444"/>
        <v>bitMomentum Bot</v>
      </c>
      <c r="L1595" s="13">
        <v>10132</v>
      </c>
      <c r="M1595" s="13">
        <v>1060</v>
      </c>
      <c r="N1595" s="13">
        <v>267</v>
      </c>
      <c r="O1595" s="15"/>
      <c r="P1595" s="6">
        <v>41608.667511574073</v>
      </c>
      <c r="Q1595" s="12"/>
      <c r="R1595" s="17" t="s">
        <v>371</v>
      </c>
      <c r="S1595" s="11" t="s">
        <v>372</v>
      </c>
      <c r="T1595" s="12"/>
      <c r="U1595" s="10" t="str">
        <f t="shared" si="445"/>
        <v>View</v>
      </c>
    </row>
    <row r="1596" spans="1:21" ht="81.599999999999994">
      <c r="A1596" s="6">
        <v>43418.375</v>
      </c>
      <c r="B1596" s="7" t="str">
        <f>HYPERLINK("https://twitter.com/Ohhppss","@Ohhppss")</f>
        <v>@Ohhppss</v>
      </c>
      <c r="C1596" s="8" t="s">
        <v>4728</v>
      </c>
      <c r="D1596" s="9" t="s">
        <v>4729</v>
      </c>
      <c r="E1596" s="10" t="str">
        <f>HYPERLINK("https://twitter.com/Ohhppss/status/1062616123290607617","1062616123290607617")</f>
        <v>1062616123290607617</v>
      </c>
      <c r="F1596" s="11" t="s">
        <v>4730</v>
      </c>
      <c r="G1596" s="12"/>
      <c r="H1596" s="12"/>
      <c r="I1596" s="13">
        <v>0</v>
      </c>
      <c r="J1596" s="13">
        <v>1</v>
      </c>
      <c r="K1596" s="14" t="str">
        <f>HYPERLINK("http://twitter.com/download/android","Twitter for Android")</f>
        <v>Twitter for Android</v>
      </c>
      <c r="L1596" s="13">
        <v>1068</v>
      </c>
      <c r="M1596" s="13">
        <v>1123</v>
      </c>
      <c r="N1596" s="13">
        <v>7</v>
      </c>
      <c r="O1596" s="15"/>
      <c r="P1596" s="6">
        <v>42530.962083333332</v>
      </c>
      <c r="Q1596" s="12"/>
      <c r="R1596" s="17" t="s">
        <v>4731</v>
      </c>
      <c r="S1596" s="12"/>
      <c r="T1596" s="12"/>
      <c r="U1596" s="10" t="str">
        <f>HYPERLINK("https://pbs.twimg.com/profile_images/1046798479992016902/OieD4QVP.jpg","View")</f>
        <v>View</v>
      </c>
    </row>
    <row r="1597" spans="1:21" ht="30.6">
      <c r="A1597" s="6">
        <v>43418.368460648147</v>
      </c>
      <c r="B1597" s="7" t="str">
        <f>HYPERLINK("https://twitter.com/diariolaopinion","@diariolaopinion")</f>
        <v>@diariolaopinion</v>
      </c>
      <c r="C1597" s="8" t="s">
        <v>3900</v>
      </c>
      <c r="D1597" s="9" t="s">
        <v>4733</v>
      </c>
      <c r="E1597" s="10" t="str">
        <f>HYPERLINK("https://twitter.com/diariolaopinion/status/1062613753638850560","1062613753638850560")</f>
        <v>1062613753638850560</v>
      </c>
      <c r="F1597" s="11" t="s">
        <v>4037</v>
      </c>
      <c r="G1597" s="12"/>
      <c r="H1597" s="12"/>
      <c r="I1597" s="13">
        <v>139</v>
      </c>
      <c r="J1597" s="13">
        <v>288</v>
      </c>
      <c r="K1597" s="14" t="str">
        <f>HYPERLINK("http://twitter.com","Twitter Web Client")</f>
        <v>Twitter Web Client</v>
      </c>
      <c r="L1597" s="13">
        <v>119887</v>
      </c>
      <c r="M1597" s="13">
        <v>1379</v>
      </c>
      <c r="N1597" s="13">
        <v>943</v>
      </c>
      <c r="O1597" s="23" t="s">
        <v>186</v>
      </c>
      <c r="P1597" s="6">
        <v>40273.898692129631</v>
      </c>
      <c r="Q1597" s="16" t="s">
        <v>3905</v>
      </c>
      <c r="R1597" s="17" t="s">
        <v>3906</v>
      </c>
      <c r="S1597" s="11" t="s">
        <v>3907</v>
      </c>
      <c r="T1597" s="12"/>
      <c r="U1597" s="10" t="str">
        <f>HYPERLINK("https://pbs.twimg.com/profile_images/948983253708476416/8KUZQrUn.jpg","View")</f>
        <v>View</v>
      </c>
    </row>
    <row r="1598" spans="1:21" ht="40.799999999999997">
      <c r="A1598" s="6">
        <v>43418.365023148144</v>
      </c>
      <c r="B1598" s="7" t="str">
        <f>HYPERLINK("https://twitter.com/VOX_Jaen","@VOX_Jaen")</f>
        <v>@VOX_Jaen</v>
      </c>
      <c r="C1598" s="8" t="s">
        <v>1778</v>
      </c>
      <c r="D1598" s="9" t="s">
        <v>5068</v>
      </c>
      <c r="E1598" s="10" t="str">
        <f>HYPERLINK("https://twitter.com/VOX_Jaen/status/1062612505648865280","1062612505648865280")</f>
        <v>1062612505648865280</v>
      </c>
      <c r="F1598" s="12"/>
      <c r="G1598" s="11" t="s">
        <v>5069</v>
      </c>
      <c r="H1598" s="12"/>
      <c r="I1598" s="13">
        <v>2</v>
      </c>
      <c r="J1598" s="13">
        <v>6</v>
      </c>
      <c r="K1598" s="14" t="str">
        <f>HYPERLINK("http://twitter.com/download/android","Twitter for Android")</f>
        <v>Twitter for Android</v>
      </c>
      <c r="L1598" s="13">
        <v>3824</v>
      </c>
      <c r="M1598" s="13">
        <v>1516</v>
      </c>
      <c r="N1598" s="13">
        <v>21</v>
      </c>
      <c r="O1598" s="15"/>
      <c r="P1598" s="6">
        <v>41707.006273148145</v>
      </c>
      <c r="Q1598" s="16" t="s">
        <v>1786</v>
      </c>
      <c r="R1598" s="17" t="s">
        <v>1787</v>
      </c>
      <c r="S1598" s="11" t="s">
        <v>1788</v>
      </c>
      <c r="T1598" s="12"/>
      <c r="U1598" s="10" t="str">
        <f>HYPERLINK("https://pbs.twimg.com/profile_images/985148305771515904/wwksIq1f.jpg","View")</f>
        <v>View</v>
      </c>
    </row>
    <row r="1599" spans="1:21" ht="30.6">
      <c r="A1599" s="6">
        <v>43418.363738425927</v>
      </c>
      <c r="B1599" s="7" t="str">
        <f>HYPERLINK("https://twitter.com/Vox_Murcia","@Vox_Murcia")</f>
        <v>@Vox_Murcia</v>
      </c>
      <c r="C1599" s="8" t="s">
        <v>3374</v>
      </c>
      <c r="D1599" s="9" t="s">
        <v>4740</v>
      </c>
      <c r="E1599" s="10" t="str">
        <f>HYPERLINK("https://twitter.com/Vox_Murcia/status/1062612039070351360","1062612039070351360")</f>
        <v>1062612039070351360</v>
      </c>
      <c r="F1599" s="11" t="s">
        <v>4037</v>
      </c>
      <c r="G1599" s="12"/>
      <c r="H1599" s="12"/>
      <c r="I1599" s="13">
        <v>5</v>
      </c>
      <c r="J1599" s="13">
        <v>10</v>
      </c>
      <c r="K1599" s="14" t="str">
        <f>HYPERLINK("http://twitter.com","Twitter Web Client")</f>
        <v>Twitter Web Client</v>
      </c>
      <c r="L1599" s="13">
        <v>3081</v>
      </c>
      <c r="M1599" s="13">
        <v>3585</v>
      </c>
      <c r="N1599" s="13">
        <v>45</v>
      </c>
      <c r="O1599" s="15"/>
      <c r="P1599" s="6">
        <v>41706.990370370375</v>
      </c>
      <c r="Q1599" s="16" t="s">
        <v>3376</v>
      </c>
      <c r="R1599" s="17" t="s">
        <v>3377</v>
      </c>
      <c r="S1599" s="11" t="s">
        <v>187</v>
      </c>
      <c r="T1599" s="12"/>
      <c r="U1599" s="10" t="str">
        <f>HYPERLINK("https://pbs.twimg.com/profile_images/1007020887571419136/2qcNDfwR.jpg","View")</f>
        <v>View</v>
      </c>
    </row>
    <row r="1600" spans="1:21" ht="71.400000000000006">
      <c r="A1600" s="6">
        <v>43418.363125000003</v>
      </c>
      <c r="B1600" s="7" t="str">
        <f>HYPERLINK("https://twitter.com/OccidentResurge","@OccidentResurge")</f>
        <v>@OccidentResurge</v>
      </c>
      <c r="C1600" s="8" t="s">
        <v>5070</v>
      </c>
      <c r="D1600" s="9" t="s">
        <v>5071</v>
      </c>
      <c r="E1600" s="10" t="str">
        <f>HYPERLINK("https://twitter.com/OccidentResurge/status/1062611816210202624","1062611816210202624")</f>
        <v>1062611816210202624</v>
      </c>
      <c r="F1600" s="11" t="s">
        <v>4730</v>
      </c>
      <c r="G1600" s="12"/>
      <c r="H1600" s="12"/>
      <c r="I1600" s="13">
        <v>0</v>
      </c>
      <c r="J1600" s="13">
        <v>0</v>
      </c>
      <c r="K1600" s="14" t="str">
        <f>HYPERLINK("http://twitter.com/download/android","Twitter for Android")</f>
        <v>Twitter for Android</v>
      </c>
      <c r="L1600" s="13">
        <v>54</v>
      </c>
      <c r="M1600" s="13">
        <v>152</v>
      </c>
      <c r="N1600" s="13">
        <v>0</v>
      </c>
      <c r="O1600" s="15"/>
      <c r="P1600" s="6">
        <v>42966.627037037033</v>
      </c>
      <c r="Q1600" s="16" t="s">
        <v>44</v>
      </c>
      <c r="R1600" s="17" t="s">
        <v>5072</v>
      </c>
      <c r="S1600" s="12"/>
      <c r="T1600" s="12"/>
      <c r="U1600" s="10" t="str">
        <f>HYPERLINK("https://pbs.twimg.com/profile_images/898894776682065921/8lpfDFW_.jpg","View")</f>
        <v>View</v>
      </c>
    </row>
    <row r="1601" spans="1:21" ht="30.6">
      <c r="A1601" s="6">
        <v>43418.362743055557</v>
      </c>
      <c r="B1601" s="7" t="str">
        <f>HYPERLINK("https://twitter.com/Vox_Murcia","@Vox_Murcia")</f>
        <v>@Vox_Murcia</v>
      </c>
      <c r="C1601" s="8" t="s">
        <v>3374</v>
      </c>
      <c r="D1601" s="9" t="s">
        <v>5073</v>
      </c>
      <c r="E1601" s="10" t="str">
        <f>HYPERLINK("https://twitter.com/Vox_Murcia/status/1062611678297251841","1062611678297251841")</f>
        <v>1062611678297251841</v>
      </c>
      <c r="F1601" s="11" t="s">
        <v>4526</v>
      </c>
      <c r="G1601" s="12"/>
      <c r="H1601" s="12"/>
      <c r="I1601" s="13">
        <v>7</v>
      </c>
      <c r="J1601" s="13">
        <v>12</v>
      </c>
      <c r="K1601" s="14" t="str">
        <f>HYPERLINK("http://twitter.com","Twitter Web Client")</f>
        <v>Twitter Web Client</v>
      </c>
      <c r="L1601" s="13">
        <v>3081</v>
      </c>
      <c r="M1601" s="13">
        <v>3585</v>
      </c>
      <c r="N1601" s="13">
        <v>45</v>
      </c>
      <c r="O1601" s="15"/>
      <c r="P1601" s="6">
        <v>41706.990370370375</v>
      </c>
      <c r="Q1601" s="16" t="s">
        <v>3376</v>
      </c>
      <c r="R1601" s="17" t="s">
        <v>3377</v>
      </c>
      <c r="S1601" s="11" t="s">
        <v>187</v>
      </c>
      <c r="T1601" s="12"/>
      <c r="U1601" s="10" t="str">
        <f>HYPERLINK("https://pbs.twimg.com/profile_images/1007020887571419136/2qcNDfwR.jpg","View")</f>
        <v>View</v>
      </c>
    </row>
    <row r="1602" spans="1:21" ht="51">
      <c r="A1602" s="6">
        <v>43418.358888888892</v>
      </c>
      <c r="B1602" s="7" t="str">
        <f>HYPERLINK("https://twitter.com/AbaloDelgado","@AbaloDelgado")</f>
        <v>@AbaloDelgado</v>
      </c>
      <c r="C1602" s="8" t="s">
        <v>3852</v>
      </c>
      <c r="D1602" s="9" t="s">
        <v>5074</v>
      </c>
      <c r="E1602" s="10" t="str">
        <f>HYPERLINK("https://twitter.com/AbaloDelgado/status/1062610282432868353","1062610282432868353")</f>
        <v>1062610282432868353</v>
      </c>
      <c r="F1602" s="12"/>
      <c r="G1602" s="12"/>
      <c r="H1602" s="12"/>
      <c r="I1602" s="13">
        <v>0</v>
      </c>
      <c r="J1602" s="13">
        <v>1</v>
      </c>
      <c r="K1602" s="14" t="str">
        <f t="shared" ref="K1602:K1603" si="446">HYPERLINK("http://twitter.com/download/android","Twitter for Android")</f>
        <v>Twitter for Android</v>
      </c>
      <c r="L1602" s="13">
        <v>924</v>
      </c>
      <c r="M1602" s="13">
        <v>275</v>
      </c>
      <c r="N1602" s="13">
        <v>56</v>
      </c>
      <c r="O1602" s="15"/>
      <c r="P1602" s="6">
        <v>42049.682523148149</v>
      </c>
      <c r="Q1602" s="12"/>
      <c r="R1602" s="21"/>
      <c r="S1602" s="12"/>
      <c r="T1602" s="12"/>
      <c r="U1602" s="10" t="str">
        <f>HYPERLINK("https://pbs.twimg.com/profile_images/747444722432675845/gXK16cpA.jpg","View")</f>
        <v>View</v>
      </c>
    </row>
    <row r="1603" spans="1:21" ht="30.6">
      <c r="A1603" s="6">
        <v>43418.338182870371</v>
      </c>
      <c r="B1603" s="7" t="str">
        <f>HYPERLINK("https://twitter.com/Talaverano78","@Talaverano78")</f>
        <v>@Talaverano78</v>
      </c>
      <c r="C1603" s="8" t="s">
        <v>5075</v>
      </c>
      <c r="D1603" s="9" t="s">
        <v>5076</v>
      </c>
      <c r="E1603" s="10" t="str">
        <f>HYPERLINK("https://twitter.com/Talaverano78/status/1062602778571345921","1062602778571345921")</f>
        <v>1062602778571345921</v>
      </c>
      <c r="F1603" s="12"/>
      <c r="G1603" s="11" t="s">
        <v>5079</v>
      </c>
      <c r="H1603" s="12"/>
      <c r="I1603" s="13">
        <v>85</v>
      </c>
      <c r="J1603" s="13">
        <v>88</v>
      </c>
      <c r="K1603" s="14" t="str">
        <f t="shared" si="446"/>
        <v>Twitter for Android</v>
      </c>
      <c r="L1603" s="13">
        <v>14062</v>
      </c>
      <c r="M1603" s="13">
        <v>14105</v>
      </c>
      <c r="N1603" s="13">
        <v>44</v>
      </c>
      <c r="O1603" s="15"/>
      <c r="P1603" s="6">
        <v>41292.52715277778</v>
      </c>
      <c r="Q1603" s="16" t="s">
        <v>5080</v>
      </c>
      <c r="R1603" s="17" t="s">
        <v>5081</v>
      </c>
      <c r="S1603" s="12"/>
      <c r="T1603" s="12"/>
      <c r="U1603" s="10" t="str">
        <f>HYPERLINK("https://pbs.twimg.com/profile_images/957011405751898112/KXm0ELUV.jpg","View")</f>
        <v>View</v>
      </c>
    </row>
    <row r="1604" spans="1:21" ht="51">
      <c r="A1604" s="6">
        <v>43418.338171296295</v>
      </c>
      <c r="B1604" s="7" t="str">
        <f>HYPERLINK("https://twitter.com/trendinaliaES","@trendinaliaES")</f>
        <v>@trendinaliaES</v>
      </c>
      <c r="C1604" s="8" t="s">
        <v>265</v>
      </c>
      <c r="D1604" s="9" t="s">
        <v>5083</v>
      </c>
      <c r="E1604" s="10" t="str">
        <f>HYPERLINK("https://twitter.com/trendinaliaES/status/1062602775773597697","1062602775773597697")</f>
        <v>1062602775773597697</v>
      </c>
      <c r="F1604" s="11" t="s">
        <v>5084</v>
      </c>
      <c r="G1604" s="12"/>
      <c r="H1604" s="12" t="str">
        <f>HYPERLINK("https://ctrlq.org/maps/address/#40.4203,-3.7058","Map")</f>
        <v>Map</v>
      </c>
      <c r="I1604" s="13">
        <v>0</v>
      </c>
      <c r="J1604" s="13">
        <v>0</v>
      </c>
      <c r="K1604" s="14" t="str">
        <f>HYPERLINK("http://laconversa.com","Es Tendencia en España")</f>
        <v>Es Tendencia en España</v>
      </c>
      <c r="L1604" s="13">
        <v>49141</v>
      </c>
      <c r="M1604" s="13">
        <v>37</v>
      </c>
      <c r="N1604" s="13">
        <v>723</v>
      </c>
      <c r="O1604" s="23" t="s">
        <v>186</v>
      </c>
      <c r="P1604" s="6">
        <v>41319.819074074076</v>
      </c>
      <c r="Q1604" s="16" t="s">
        <v>66</v>
      </c>
      <c r="R1604" s="17" t="s">
        <v>268</v>
      </c>
      <c r="S1604" s="11" t="s">
        <v>269</v>
      </c>
      <c r="T1604" s="12"/>
      <c r="U1604" s="10" t="str">
        <f>HYPERLINK("https://pbs.twimg.com/profile_images/696485210821632000/xpdMQ_mE.png","View")</f>
        <v>View</v>
      </c>
    </row>
    <row r="1605" spans="1:21" ht="30.6">
      <c r="A1605" s="6">
        <v>43418.335127314815</v>
      </c>
      <c r="B1605" s="7" t="str">
        <f>HYPERLINK("https://twitter.com/Piere_NoDoyUna","@Piere_NoDoyUna")</f>
        <v>@Piere_NoDoyUna</v>
      </c>
      <c r="C1605" s="8" t="s">
        <v>5085</v>
      </c>
      <c r="D1605" s="9" t="s">
        <v>5086</v>
      </c>
      <c r="E1605" s="10" t="str">
        <f>HYPERLINK("https://twitter.com/Piere_NoDoyUna/status/1062601673326190592","1062601673326190592")</f>
        <v>1062601673326190592</v>
      </c>
      <c r="F1605" s="11" t="s">
        <v>5087</v>
      </c>
      <c r="G1605" s="11" t="s">
        <v>5088</v>
      </c>
      <c r="H1605" s="12"/>
      <c r="I1605" s="13">
        <v>0</v>
      </c>
      <c r="J1605" s="13">
        <v>0</v>
      </c>
      <c r="K1605" s="14" t="str">
        <f t="shared" ref="K1605:K1606" si="447">HYPERLINK("http://twitter.com/download/iphone","Twitter for iPhone")</f>
        <v>Twitter for iPhone</v>
      </c>
      <c r="L1605" s="13">
        <v>210</v>
      </c>
      <c r="M1605" s="13">
        <v>219</v>
      </c>
      <c r="N1605" s="13">
        <v>3</v>
      </c>
      <c r="O1605" s="15"/>
      <c r="P1605" s="6">
        <v>41160.014525462961</v>
      </c>
      <c r="Q1605" s="16" t="s">
        <v>158</v>
      </c>
      <c r="R1605" s="17" t="s">
        <v>5089</v>
      </c>
      <c r="S1605" s="12"/>
      <c r="T1605" s="12"/>
      <c r="U1605" s="10" t="str">
        <f>HYPERLINK("https://pbs.twimg.com/profile_images/758603026630316034/BLaDL0ey.jpg","View")</f>
        <v>View</v>
      </c>
    </row>
    <row r="1606" spans="1:21" ht="40.799999999999997">
      <c r="A1606" s="6">
        <v>43418.33488425926</v>
      </c>
      <c r="B1606" s="7" t="str">
        <f>HYPERLINK("https://twitter.com/TvPlataforma","@TvPlataforma")</f>
        <v>@TvPlataforma</v>
      </c>
      <c r="C1606" s="8" t="s">
        <v>3297</v>
      </c>
      <c r="D1606" s="9" t="s">
        <v>5090</v>
      </c>
      <c r="E1606" s="10" t="str">
        <f>HYPERLINK("https://twitter.com/TvPlataforma/status/1062601584125841408","1062601584125841408")</f>
        <v>1062601584125841408</v>
      </c>
      <c r="F1606" s="11" t="s">
        <v>4298</v>
      </c>
      <c r="G1606" s="12"/>
      <c r="H1606" s="12"/>
      <c r="I1606" s="13">
        <v>13</v>
      </c>
      <c r="J1606" s="13">
        <v>12</v>
      </c>
      <c r="K1606" s="14" t="str">
        <f t="shared" si="447"/>
        <v>Twitter for iPhone</v>
      </c>
      <c r="L1606" s="13">
        <v>1707</v>
      </c>
      <c r="M1606" s="13">
        <v>4997</v>
      </c>
      <c r="N1606" s="13">
        <v>9</v>
      </c>
      <c r="O1606" s="15"/>
      <c r="P1606" s="6">
        <v>43377.804641203707</v>
      </c>
      <c r="Q1606" s="12"/>
      <c r="R1606" s="17" t="s">
        <v>3302</v>
      </c>
      <c r="S1606" s="12"/>
      <c r="T1606" s="12"/>
      <c r="U1606" s="10" t="str">
        <f>HYPERLINK("https://pbs.twimg.com/profile_images/1053301934134870017/ZuBUPU4P.jpg","View")</f>
        <v>View</v>
      </c>
    </row>
    <row r="1607" spans="1:21" ht="51">
      <c r="A1607" s="6">
        <v>43418.334722222222</v>
      </c>
      <c r="B1607" s="7" t="str">
        <f t="shared" ref="B1607:B1608" si="448">HYPERLINK("https://twitter.com/bitMomentum","@bitMomentum")</f>
        <v>@bitMomentum</v>
      </c>
      <c r="C1607" s="8" t="s">
        <v>368</v>
      </c>
      <c r="D1607" s="9" t="s">
        <v>5096</v>
      </c>
      <c r="E1607" s="10" t="str">
        <f>HYPERLINK("https://twitter.com/bitMomentum/status/1062601523996381184","1062601523996381184")</f>
        <v>1062601523996381184</v>
      </c>
      <c r="F1607" s="12"/>
      <c r="G1607" s="12"/>
      <c r="H1607" s="12"/>
      <c r="I1607" s="13">
        <v>0</v>
      </c>
      <c r="J1607" s="13">
        <v>0</v>
      </c>
      <c r="K1607" s="14" t="str">
        <f t="shared" ref="K1607:K1608" si="449">HYPERLINK("http://www.bitmomentum.com","bitMomentum Bot")</f>
        <v>bitMomentum Bot</v>
      </c>
      <c r="L1607" s="13">
        <v>10132</v>
      </c>
      <c r="M1607" s="13">
        <v>1060</v>
      </c>
      <c r="N1607" s="13">
        <v>267</v>
      </c>
      <c r="O1607" s="15"/>
      <c r="P1607" s="6">
        <v>41608.667511574073</v>
      </c>
      <c r="Q1607" s="12"/>
      <c r="R1607" s="17" t="s">
        <v>371</v>
      </c>
      <c r="S1607" s="11" t="s">
        <v>372</v>
      </c>
      <c r="T1607" s="12"/>
      <c r="U1607" s="10" t="str">
        <f t="shared" ref="U1607:U1608" si="450">HYPERLINK("https://pbs.twimg.com/profile_images/378800000862185241/20ij2H3u.png","View")</f>
        <v>View</v>
      </c>
    </row>
    <row r="1608" spans="1:21" ht="51">
      <c r="A1608" s="6">
        <v>43418.334027777775</v>
      </c>
      <c r="B1608" s="7" t="str">
        <f t="shared" si="448"/>
        <v>@bitMomentum</v>
      </c>
      <c r="C1608" s="8" t="s">
        <v>368</v>
      </c>
      <c r="D1608" s="9" t="s">
        <v>5097</v>
      </c>
      <c r="E1608" s="10" t="str">
        <f>HYPERLINK("https://twitter.com/bitMomentum/status/1062601272375853056","1062601272375853056")</f>
        <v>1062601272375853056</v>
      </c>
      <c r="F1608" s="12"/>
      <c r="G1608" s="12"/>
      <c r="H1608" s="12"/>
      <c r="I1608" s="13">
        <v>0</v>
      </c>
      <c r="J1608" s="13">
        <v>1</v>
      </c>
      <c r="K1608" s="14" t="str">
        <f t="shared" si="449"/>
        <v>bitMomentum Bot</v>
      </c>
      <c r="L1608" s="13">
        <v>10132</v>
      </c>
      <c r="M1608" s="13">
        <v>1060</v>
      </c>
      <c r="N1608" s="13">
        <v>267</v>
      </c>
      <c r="O1608" s="15"/>
      <c r="P1608" s="6">
        <v>41608.667511574073</v>
      </c>
      <c r="Q1608" s="12"/>
      <c r="R1608" s="17" t="s">
        <v>371</v>
      </c>
      <c r="S1608" s="11" t="s">
        <v>372</v>
      </c>
      <c r="T1608" s="12"/>
      <c r="U1608" s="10" t="str">
        <f t="shared" si="450"/>
        <v>View</v>
      </c>
    </row>
    <row r="1609" spans="1:21" ht="51">
      <c r="A1609" s="6">
        <v>43418.305752314816</v>
      </c>
      <c r="B1609" s="7" t="str">
        <f>HYPERLINK("https://twitter.com/MasPortalMarina","@MasPortalMarina")</f>
        <v>@MasPortalMarina</v>
      </c>
      <c r="C1609" s="8" t="s">
        <v>3763</v>
      </c>
      <c r="D1609" s="9" t="s">
        <v>5098</v>
      </c>
      <c r="E1609" s="10" t="str">
        <f>HYPERLINK("https://twitter.com/MasPortalMarina/status/1062591026001559553","1062591026001559553")</f>
        <v>1062591026001559553</v>
      </c>
      <c r="F1609" s="11" t="s">
        <v>5099</v>
      </c>
      <c r="G1609" s="11" t="s">
        <v>5100</v>
      </c>
      <c r="H1609" s="12"/>
      <c r="I1609" s="13">
        <v>1</v>
      </c>
      <c r="J1609" s="13">
        <v>1</v>
      </c>
      <c r="K1609" s="14" t="str">
        <f>HYPERLINK("http://twitter.com/download/iphone","Twitter for iPhone")</f>
        <v>Twitter for iPhone</v>
      </c>
      <c r="L1609" s="13">
        <v>1135</v>
      </c>
      <c r="M1609" s="13">
        <v>1238</v>
      </c>
      <c r="N1609" s="13">
        <v>15</v>
      </c>
      <c r="O1609" s="15"/>
      <c r="P1609" s="6">
        <v>42188.372581018513</v>
      </c>
      <c r="Q1609" s="12"/>
      <c r="R1609" s="17" t="s">
        <v>3767</v>
      </c>
      <c r="S1609" s="11" t="s">
        <v>3768</v>
      </c>
      <c r="T1609" s="12"/>
      <c r="U1609" s="10" t="str">
        <f>HYPERLINK("https://pbs.twimg.com/profile_images/1034434201339260928/afTlzanG.jpg","View")</f>
        <v>View</v>
      </c>
    </row>
    <row r="1610" spans="1:21" ht="51">
      <c r="A1610" s="6">
        <v>43418.29305555555</v>
      </c>
      <c r="B1610" s="7" t="str">
        <f t="shared" ref="B1610:B1611" si="451">HYPERLINK("https://twitter.com/bitMomentum","@bitMomentum")</f>
        <v>@bitMomentum</v>
      </c>
      <c r="C1610" s="8" t="s">
        <v>368</v>
      </c>
      <c r="D1610" s="9" t="s">
        <v>5101</v>
      </c>
      <c r="E1610" s="10" t="str">
        <f>HYPERLINK("https://twitter.com/bitMomentum/status/1062586424611037185","1062586424611037185")</f>
        <v>1062586424611037185</v>
      </c>
      <c r="F1610" s="12"/>
      <c r="G1610" s="12"/>
      <c r="H1610" s="12"/>
      <c r="I1610" s="13">
        <v>0</v>
      </c>
      <c r="J1610" s="13">
        <v>0</v>
      </c>
      <c r="K1610" s="14" t="str">
        <f t="shared" ref="K1610:K1611" si="452">HYPERLINK("http://www.bitmomentum.com","bitMomentum Bot")</f>
        <v>bitMomentum Bot</v>
      </c>
      <c r="L1610" s="13">
        <v>10132</v>
      </c>
      <c r="M1610" s="13">
        <v>1060</v>
      </c>
      <c r="N1610" s="13">
        <v>267</v>
      </c>
      <c r="O1610" s="15"/>
      <c r="P1610" s="6">
        <v>41608.667511574073</v>
      </c>
      <c r="Q1610" s="12"/>
      <c r="R1610" s="17" t="s">
        <v>371</v>
      </c>
      <c r="S1610" s="11" t="s">
        <v>372</v>
      </c>
      <c r="T1610" s="12"/>
      <c r="U1610" s="10" t="str">
        <f t="shared" ref="U1610:U1611" si="453">HYPERLINK("https://pbs.twimg.com/profile_images/378800000862185241/20ij2H3u.png","View")</f>
        <v>View</v>
      </c>
    </row>
    <row r="1611" spans="1:21" ht="51">
      <c r="A1611" s="6">
        <v>43418.292361111111</v>
      </c>
      <c r="B1611" s="7" t="str">
        <f t="shared" si="451"/>
        <v>@bitMomentum</v>
      </c>
      <c r="C1611" s="8" t="s">
        <v>368</v>
      </c>
      <c r="D1611" s="9" t="s">
        <v>5102</v>
      </c>
      <c r="E1611" s="10" t="str">
        <f>HYPERLINK("https://twitter.com/bitMomentum/status/1062586173078552576","1062586173078552576")</f>
        <v>1062586173078552576</v>
      </c>
      <c r="F1611" s="12"/>
      <c r="G1611" s="12"/>
      <c r="H1611" s="12"/>
      <c r="I1611" s="13">
        <v>0</v>
      </c>
      <c r="J1611" s="13">
        <v>0</v>
      </c>
      <c r="K1611" s="14" t="str">
        <f t="shared" si="452"/>
        <v>bitMomentum Bot</v>
      </c>
      <c r="L1611" s="13">
        <v>10132</v>
      </c>
      <c r="M1611" s="13">
        <v>1060</v>
      </c>
      <c r="N1611" s="13">
        <v>267</v>
      </c>
      <c r="O1611" s="15"/>
      <c r="P1611" s="6">
        <v>41608.667511574073</v>
      </c>
      <c r="Q1611" s="12"/>
      <c r="R1611" s="17" t="s">
        <v>371</v>
      </c>
      <c r="S1611" s="11" t="s">
        <v>372</v>
      </c>
      <c r="T1611" s="12"/>
      <c r="U1611" s="10" t="str">
        <f t="shared" si="453"/>
        <v>View</v>
      </c>
    </row>
    <row r="1612" spans="1:21" ht="40.799999999999997">
      <c r="A1612" s="6">
        <v>43418.286134259259</v>
      </c>
      <c r="B1612" s="7" t="str">
        <f>HYPERLINK("https://twitter.com/Juan_A_Morales","@Juan_A_Morales")</f>
        <v>@Juan_A_Morales</v>
      </c>
      <c r="C1612" s="8" t="s">
        <v>5103</v>
      </c>
      <c r="D1612" s="9" t="s">
        <v>5104</v>
      </c>
      <c r="E1612" s="10" t="str">
        <f>HYPERLINK("https://twitter.com/Juan_A_Morales/status/1062583916807237632","1062583916807237632")</f>
        <v>1062583916807237632</v>
      </c>
      <c r="F1612" s="11" t="s">
        <v>4325</v>
      </c>
      <c r="G1612" s="12"/>
      <c r="H1612" s="12"/>
      <c r="I1612" s="13">
        <v>35</v>
      </c>
      <c r="J1612" s="13">
        <v>63</v>
      </c>
      <c r="K1612" s="14" t="str">
        <f>HYPERLINK("http://twitter.com","Twitter Web Client")</f>
        <v>Twitter Web Client</v>
      </c>
      <c r="L1612" s="13">
        <v>4431</v>
      </c>
      <c r="M1612" s="13">
        <v>3730</v>
      </c>
      <c r="N1612" s="13">
        <v>102</v>
      </c>
      <c r="O1612" s="15"/>
      <c r="P1612" s="6">
        <v>40271.514050925922</v>
      </c>
      <c r="Q1612" s="16" t="s">
        <v>5105</v>
      </c>
      <c r="R1612" s="17" t="s">
        <v>5106</v>
      </c>
      <c r="S1612" s="11" t="s">
        <v>5107</v>
      </c>
      <c r="T1612" s="12"/>
      <c r="U1612" s="10" t="str">
        <f>HYPERLINK("https://pbs.twimg.com/profile_images/947842314390601728/FBf5L_wF.jpg","View")</f>
        <v>View</v>
      </c>
    </row>
    <row r="1613" spans="1:21" ht="51">
      <c r="A1613" s="6">
        <v>43418.251388888893</v>
      </c>
      <c r="B1613" s="7" t="str">
        <f t="shared" ref="B1613:B1614" si="454">HYPERLINK("https://twitter.com/bitMomentum","@bitMomentum")</f>
        <v>@bitMomentum</v>
      </c>
      <c r="C1613" s="8" t="s">
        <v>368</v>
      </c>
      <c r="D1613" s="9" t="s">
        <v>5108</v>
      </c>
      <c r="E1613" s="10" t="str">
        <f>HYPERLINK("https://twitter.com/bitMomentum/status/1062571325196300288","1062571325196300288")</f>
        <v>1062571325196300288</v>
      </c>
      <c r="F1613" s="12"/>
      <c r="G1613" s="12"/>
      <c r="H1613" s="12"/>
      <c r="I1613" s="13">
        <v>0</v>
      </c>
      <c r="J1613" s="13">
        <v>0</v>
      </c>
      <c r="K1613" s="14" t="str">
        <f t="shared" ref="K1613:K1614" si="455">HYPERLINK("http://www.bitmomentum.com","bitMomentum Bot")</f>
        <v>bitMomentum Bot</v>
      </c>
      <c r="L1613" s="13">
        <v>10132</v>
      </c>
      <c r="M1613" s="13">
        <v>1060</v>
      </c>
      <c r="N1613" s="13">
        <v>267</v>
      </c>
      <c r="O1613" s="15"/>
      <c r="P1613" s="6">
        <v>41608.667511574073</v>
      </c>
      <c r="Q1613" s="12"/>
      <c r="R1613" s="17" t="s">
        <v>371</v>
      </c>
      <c r="S1613" s="11" t="s">
        <v>372</v>
      </c>
      <c r="T1613" s="12"/>
      <c r="U1613" s="10" t="str">
        <f t="shared" ref="U1613:U1614" si="456">HYPERLINK("https://pbs.twimg.com/profile_images/378800000862185241/20ij2H3u.png","View")</f>
        <v>View</v>
      </c>
    </row>
    <row r="1614" spans="1:21" ht="51">
      <c r="A1614" s="6">
        <v>43418.250694444447</v>
      </c>
      <c r="B1614" s="7" t="str">
        <f t="shared" si="454"/>
        <v>@bitMomentum</v>
      </c>
      <c r="C1614" s="8" t="s">
        <v>368</v>
      </c>
      <c r="D1614" s="9" t="s">
        <v>5109</v>
      </c>
      <c r="E1614" s="10" t="str">
        <f>HYPERLINK("https://twitter.com/bitMomentum/status/1062571073395417088","1062571073395417088")</f>
        <v>1062571073395417088</v>
      </c>
      <c r="F1614" s="12"/>
      <c r="G1614" s="12"/>
      <c r="H1614" s="12"/>
      <c r="I1614" s="13">
        <v>0</v>
      </c>
      <c r="J1614" s="13">
        <v>1</v>
      </c>
      <c r="K1614" s="14" t="str">
        <f t="shared" si="455"/>
        <v>bitMomentum Bot</v>
      </c>
      <c r="L1614" s="13">
        <v>10132</v>
      </c>
      <c r="M1614" s="13">
        <v>1060</v>
      </c>
      <c r="N1614" s="13">
        <v>267</v>
      </c>
      <c r="O1614" s="15"/>
      <c r="P1614" s="6">
        <v>41608.667511574073</v>
      </c>
      <c r="Q1614" s="12"/>
      <c r="R1614" s="17" t="s">
        <v>371</v>
      </c>
      <c r="S1614" s="11" t="s">
        <v>372</v>
      </c>
      <c r="T1614" s="12"/>
      <c r="U1614" s="10" t="str">
        <f t="shared" si="456"/>
        <v>View</v>
      </c>
    </row>
    <row r="1615" spans="1:21" ht="91.8">
      <c r="A1615" s="6">
        <v>43418.227650462963</v>
      </c>
      <c r="B1615" s="7" t="str">
        <f>HYPERLINK("https://twitter.com/annicuter","@annicuter")</f>
        <v>@annicuter</v>
      </c>
      <c r="C1615" s="8" t="s">
        <v>5112</v>
      </c>
      <c r="D1615" s="9" t="s">
        <v>5113</v>
      </c>
      <c r="E1615" s="10" t="str">
        <f>HYPERLINK("https://twitter.com/annicuter/status/1062562724192940032","1062562724192940032")</f>
        <v>1062562724192940032</v>
      </c>
      <c r="F1615" s="16" t="s">
        <v>5114</v>
      </c>
      <c r="G1615" s="12"/>
      <c r="H1615" s="12"/>
      <c r="I1615" s="13">
        <v>2</v>
      </c>
      <c r="J1615" s="13">
        <v>0</v>
      </c>
      <c r="K1615" s="14" t="str">
        <f>HYPERLINK("http://twitter.com","Twitter Web Client")</f>
        <v>Twitter Web Client</v>
      </c>
      <c r="L1615" s="13">
        <v>1944</v>
      </c>
      <c r="M1615" s="13">
        <v>2803</v>
      </c>
      <c r="N1615" s="13">
        <v>10</v>
      </c>
      <c r="O1615" s="15"/>
      <c r="P1615" s="6">
        <v>40457.24119212963</v>
      </c>
      <c r="Q1615" s="16" t="s">
        <v>5115</v>
      </c>
      <c r="R1615" s="17" t="s">
        <v>5116</v>
      </c>
      <c r="S1615" s="12"/>
      <c r="T1615" s="12"/>
      <c r="U1615" s="10" t="str">
        <f>HYPERLINK("https://pbs.twimg.com/profile_images/797214519223341057/F2mGxosw.jpg","View")</f>
        <v>View</v>
      </c>
    </row>
    <row r="1616" spans="1:21" ht="30.6">
      <c r="A1616" s="6">
        <v>43418.222812499997</v>
      </c>
      <c r="B1616" s="7" t="str">
        <f>HYPERLINK("https://twitter.com/maximoleon21","@maximoleon21")</f>
        <v>@maximoleon21</v>
      </c>
      <c r="C1616" s="8" t="s">
        <v>5117</v>
      </c>
      <c r="D1616" s="9" t="s">
        <v>5118</v>
      </c>
      <c r="E1616" s="10" t="str">
        <f>HYPERLINK("https://twitter.com/maximoleon21/status/1062560972462788609","1062560972462788609")</f>
        <v>1062560972462788609</v>
      </c>
      <c r="F1616" s="11" t="s">
        <v>5036</v>
      </c>
      <c r="G1616" s="12"/>
      <c r="H1616" s="12"/>
      <c r="I1616" s="13">
        <v>0</v>
      </c>
      <c r="J1616" s="13">
        <v>0</v>
      </c>
      <c r="K1616" s="14" t="str">
        <f t="shared" ref="K1616:K1617" si="457">HYPERLINK("http://twitter.com/download/android","Twitter for Android")</f>
        <v>Twitter for Android</v>
      </c>
      <c r="L1616" s="13">
        <v>548</v>
      </c>
      <c r="M1616" s="13">
        <v>1566</v>
      </c>
      <c r="N1616" s="13">
        <v>4</v>
      </c>
      <c r="O1616" s="15"/>
      <c r="P1616" s="6">
        <v>40847.725787037038</v>
      </c>
      <c r="Q1616" s="16" t="s">
        <v>5119</v>
      </c>
      <c r="R1616" s="17" t="s">
        <v>5120</v>
      </c>
      <c r="S1616" s="12"/>
      <c r="T1616" s="12"/>
      <c r="U1616" s="10" t="str">
        <f>HYPERLINK("https://pbs.twimg.com/profile_images/1615810060/Maximo1.jpg","View")</f>
        <v>View</v>
      </c>
    </row>
    <row r="1617" spans="1:21" ht="102">
      <c r="A1617" s="6">
        <v>43418.213634259257</v>
      </c>
      <c r="B1617" s="7" t="str">
        <f>HYPERLINK("https://twitter.com/TemplarioGR","@TemplarioGR")</f>
        <v>@TemplarioGR</v>
      </c>
      <c r="C1617" s="8" t="s">
        <v>5121</v>
      </c>
      <c r="D1617" s="9" t="s">
        <v>5122</v>
      </c>
      <c r="E1617" s="10" t="str">
        <f>HYPERLINK("https://twitter.com/TemplarioGR/status/1062557645872218112","1062557645872218112")</f>
        <v>1062557645872218112</v>
      </c>
      <c r="F1617" s="16" t="s">
        <v>5123</v>
      </c>
      <c r="G1617" s="12"/>
      <c r="H1617" s="12"/>
      <c r="I1617" s="13">
        <v>1</v>
      </c>
      <c r="J1617" s="13">
        <v>2</v>
      </c>
      <c r="K1617" s="14" t="str">
        <f t="shared" si="457"/>
        <v>Twitter for Android</v>
      </c>
      <c r="L1617" s="13">
        <v>79</v>
      </c>
      <c r="M1617" s="13">
        <v>156</v>
      </c>
      <c r="N1617" s="13">
        <v>1</v>
      </c>
      <c r="O1617" s="15"/>
      <c r="P1617" s="6">
        <v>43195.097650462965</v>
      </c>
      <c r="Q1617" s="16" t="s">
        <v>5124</v>
      </c>
      <c r="R1617" s="17" t="s">
        <v>5125</v>
      </c>
      <c r="S1617" s="12"/>
      <c r="T1617" s="12"/>
      <c r="U1617" s="10" t="str">
        <f>HYPERLINK("https://pbs.twimg.com/profile_images/983532997696741376/xid7KRm_.jpg","View")</f>
        <v>View</v>
      </c>
    </row>
    <row r="1618" spans="1:21" ht="51">
      <c r="A1618" s="6">
        <v>43418.209722222222</v>
      </c>
      <c r="B1618" s="7" t="str">
        <f t="shared" ref="B1618:B1621" si="458">HYPERLINK("https://twitter.com/bitMomentum","@bitMomentum")</f>
        <v>@bitMomentum</v>
      </c>
      <c r="C1618" s="8" t="s">
        <v>368</v>
      </c>
      <c r="D1618" s="9" t="s">
        <v>5126</v>
      </c>
      <c r="E1618" s="10" t="str">
        <f>HYPERLINK("https://twitter.com/bitMomentum/status/1062556225576071168","1062556225576071168")</f>
        <v>1062556225576071168</v>
      </c>
      <c r="F1618" s="12"/>
      <c r="G1618" s="12"/>
      <c r="H1618" s="12"/>
      <c r="I1618" s="13">
        <v>0</v>
      </c>
      <c r="J1618" s="13">
        <v>0</v>
      </c>
      <c r="K1618" s="14" t="str">
        <f t="shared" ref="K1618:K1621" si="459">HYPERLINK("http://www.bitmomentum.com","bitMomentum Bot")</f>
        <v>bitMomentum Bot</v>
      </c>
      <c r="L1618" s="13">
        <v>10132</v>
      </c>
      <c r="M1618" s="13">
        <v>1060</v>
      </c>
      <c r="N1618" s="13">
        <v>267</v>
      </c>
      <c r="O1618" s="15"/>
      <c r="P1618" s="6">
        <v>41608.667511574073</v>
      </c>
      <c r="Q1618" s="12"/>
      <c r="R1618" s="17" t="s">
        <v>371</v>
      </c>
      <c r="S1618" s="11" t="s">
        <v>372</v>
      </c>
      <c r="T1618" s="12"/>
      <c r="U1618" s="10" t="str">
        <f t="shared" ref="U1618:U1621" si="460">HYPERLINK("https://pbs.twimg.com/profile_images/378800000862185241/20ij2H3u.png","View")</f>
        <v>View</v>
      </c>
    </row>
    <row r="1619" spans="1:21" ht="51">
      <c r="A1619" s="6">
        <v>43418.209027777775</v>
      </c>
      <c r="B1619" s="7" t="str">
        <f t="shared" si="458"/>
        <v>@bitMomentum</v>
      </c>
      <c r="C1619" s="8" t="s">
        <v>368</v>
      </c>
      <c r="D1619" s="9" t="s">
        <v>5127</v>
      </c>
      <c r="E1619" s="10" t="str">
        <f>HYPERLINK("https://twitter.com/bitMomentum/status/1062555973775253504","1062555973775253504")</f>
        <v>1062555973775253504</v>
      </c>
      <c r="F1619" s="12"/>
      <c r="G1619" s="12"/>
      <c r="H1619" s="12"/>
      <c r="I1619" s="13">
        <v>0</v>
      </c>
      <c r="J1619" s="13">
        <v>1</v>
      </c>
      <c r="K1619" s="14" t="str">
        <f t="shared" si="459"/>
        <v>bitMomentum Bot</v>
      </c>
      <c r="L1619" s="13">
        <v>10132</v>
      </c>
      <c r="M1619" s="13">
        <v>1060</v>
      </c>
      <c r="N1619" s="13">
        <v>267</v>
      </c>
      <c r="O1619" s="15"/>
      <c r="P1619" s="6">
        <v>41608.667511574073</v>
      </c>
      <c r="Q1619" s="12"/>
      <c r="R1619" s="17" t="s">
        <v>371</v>
      </c>
      <c r="S1619" s="11" t="s">
        <v>372</v>
      </c>
      <c r="T1619" s="12"/>
      <c r="U1619" s="10" t="str">
        <f t="shared" si="460"/>
        <v>View</v>
      </c>
    </row>
    <row r="1620" spans="1:21" ht="51">
      <c r="A1620" s="6">
        <v>43418.16805555555</v>
      </c>
      <c r="B1620" s="7" t="str">
        <f t="shared" si="458"/>
        <v>@bitMomentum</v>
      </c>
      <c r="C1620" s="8" t="s">
        <v>368</v>
      </c>
      <c r="D1620" s="9" t="s">
        <v>5128</v>
      </c>
      <c r="E1620" s="10" t="str">
        <f>HYPERLINK("https://twitter.com/bitMomentum/status/1062541126085812224","1062541126085812224")</f>
        <v>1062541126085812224</v>
      </c>
      <c r="F1620" s="12"/>
      <c r="G1620" s="12"/>
      <c r="H1620" s="12"/>
      <c r="I1620" s="13">
        <v>0</v>
      </c>
      <c r="J1620" s="13">
        <v>0</v>
      </c>
      <c r="K1620" s="14" t="str">
        <f t="shared" si="459"/>
        <v>bitMomentum Bot</v>
      </c>
      <c r="L1620" s="13">
        <v>10132</v>
      </c>
      <c r="M1620" s="13">
        <v>1060</v>
      </c>
      <c r="N1620" s="13">
        <v>267</v>
      </c>
      <c r="O1620" s="15"/>
      <c r="P1620" s="6">
        <v>41608.667511574073</v>
      </c>
      <c r="Q1620" s="12"/>
      <c r="R1620" s="17" t="s">
        <v>371</v>
      </c>
      <c r="S1620" s="11" t="s">
        <v>372</v>
      </c>
      <c r="T1620" s="12"/>
      <c r="U1620" s="10" t="str">
        <f t="shared" si="460"/>
        <v>View</v>
      </c>
    </row>
    <row r="1621" spans="1:21" ht="51">
      <c r="A1621" s="6">
        <v>43418.167361111111</v>
      </c>
      <c r="B1621" s="7" t="str">
        <f t="shared" si="458"/>
        <v>@bitMomentum</v>
      </c>
      <c r="C1621" s="8" t="s">
        <v>368</v>
      </c>
      <c r="D1621" s="9" t="s">
        <v>5130</v>
      </c>
      <c r="E1621" s="10" t="str">
        <f>HYPERLINK("https://twitter.com/bitMomentum/status/1062540874289176576","1062540874289176576")</f>
        <v>1062540874289176576</v>
      </c>
      <c r="F1621" s="12"/>
      <c r="G1621" s="12"/>
      <c r="H1621" s="12"/>
      <c r="I1621" s="13">
        <v>0</v>
      </c>
      <c r="J1621" s="13">
        <v>0</v>
      </c>
      <c r="K1621" s="14" t="str">
        <f t="shared" si="459"/>
        <v>bitMomentum Bot</v>
      </c>
      <c r="L1621" s="13">
        <v>10132</v>
      </c>
      <c r="M1621" s="13">
        <v>1060</v>
      </c>
      <c r="N1621" s="13">
        <v>267</v>
      </c>
      <c r="O1621" s="15"/>
      <c r="P1621" s="6">
        <v>41608.667511574073</v>
      </c>
      <c r="Q1621" s="12"/>
      <c r="R1621" s="17" t="s">
        <v>371</v>
      </c>
      <c r="S1621" s="11" t="s">
        <v>372</v>
      </c>
      <c r="T1621" s="12"/>
      <c r="U1621" s="10" t="str">
        <f t="shared" si="460"/>
        <v>View</v>
      </c>
    </row>
    <row r="1622" spans="1:21" ht="51">
      <c r="A1622" s="6">
        <v>43418.15960648148</v>
      </c>
      <c r="B1622" s="7" t="str">
        <f>HYPERLINK("https://twitter.com/CarlosElCuru","@CarlosElCuru")</f>
        <v>@CarlosElCuru</v>
      </c>
      <c r="C1622" s="8" t="s">
        <v>5509</v>
      </c>
      <c r="D1622" s="9" t="s">
        <v>5510</v>
      </c>
      <c r="E1622" s="10" t="str">
        <f>HYPERLINK("https://twitter.com/CarlosElCuru/status/1062538066127134720","1062538066127134720")</f>
        <v>1062538066127134720</v>
      </c>
      <c r="F1622" s="12"/>
      <c r="G1622" s="12"/>
      <c r="H1622" s="12"/>
      <c r="I1622" s="13">
        <v>2</v>
      </c>
      <c r="J1622" s="13">
        <v>2</v>
      </c>
      <c r="K1622" s="14" t="str">
        <f>HYPERLINK("http://twitter.com/download/android","Twitter for Android")</f>
        <v>Twitter for Android</v>
      </c>
      <c r="L1622" s="13">
        <v>283</v>
      </c>
      <c r="M1622" s="13">
        <v>881</v>
      </c>
      <c r="N1622" s="13">
        <v>0</v>
      </c>
      <c r="O1622" s="15"/>
      <c r="P1622" s="6">
        <v>42289.464594907404</v>
      </c>
      <c r="Q1622" s="16" t="s">
        <v>5511</v>
      </c>
      <c r="R1622" s="17" t="s">
        <v>5512</v>
      </c>
      <c r="S1622" s="12"/>
      <c r="T1622" s="12"/>
      <c r="U1622" s="10" t="str">
        <f>HYPERLINK("https://pbs.twimg.com/profile_images/1064120330422231040/DvS1xK6J.jpg","View")</f>
        <v>View</v>
      </c>
    </row>
    <row r="1623" spans="1:21" ht="51">
      <c r="A1623" s="6">
        <v>43418.126388888893</v>
      </c>
      <c r="B1623" s="7" t="str">
        <f t="shared" ref="B1623:B1626" si="461">HYPERLINK("https://twitter.com/bitMomentum","@bitMomentum")</f>
        <v>@bitMomentum</v>
      </c>
      <c r="C1623" s="8" t="s">
        <v>368</v>
      </c>
      <c r="D1623" s="9" t="s">
        <v>5131</v>
      </c>
      <c r="E1623" s="10" t="str">
        <f>HYPERLINK("https://twitter.com/bitMomentum/status/1062526026666991621","1062526026666991621")</f>
        <v>1062526026666991621</v>
      </c>
      <c r="F1623" s="12"/>
      <c r="G1623" s="12"/>
      <c r="H1623" s="12"/>
      <c r="I1623" s="13">
        <v>0</v>
      </c>
      <c r="J1623" s="13">
        <v>0</v>
      </c>
      <c r="K1623" s="14" t="str">
        <f t="shared" ref="K1623:K1626" si="462">HYPERLINK("http://www.bitmomentum.com","bitMomentum Bot")</f>
        <v>bitMomentum Bot</v>
      </c>
      <c r="L1623" s="13">
        <v>10132</v>
      </c>
      <c r="M1623" s="13">
        <v>1060</v>
      </c>
      <c r="N1623" s="13">
        <v>267</v>
      </c>
      <c r="O1623" s="15"/>
      <c r="P1623" s="6">
        <v>41608.667511574073</v>
      </c>
      <c r="Q1623" s="12"/>
      <c r="R1623" s="17" t="s">
        <v>371</v>
      </c>
      <c r="S1623" s="11" t="s">
        <v>372</v>
      </c>
      <c r="T1623" s="12"/>
      <c r="U1623" s="10" t="str">
        <f t="shared" ref="U1623:U1626" si="463">HYPERLINK("https://pbs.twimg.com/profile_images/378800000862185241/20ij2H3u.png","View")</f>
        <v>View</v>
      </c>
    </row>
    <row r="1624" spans="1:21" ht="51">
      <c r="A1624" s="6">
        <v>43418.125694444447</v>
      </c>
      <c r="B1624" s="7" t="str">
        <f t="shared" si="461"/>
        <v>@bitMomentum</v>
      </c>
      <c r="C1624" s="8" t="s">
        <v>368</v>
      </c>
      <c r="D1624" s="9" t="s">
        <v>5132</v>
      </c>
      <c r="E1624" s="10" t="str">
        <f>HYPERLINK("https://twitter.com/bitMomentum/status/1062525774983503872","1062525774983503872")</f>
        <v>1062525774983503872</v>
      </c>
      <c r="F1624" s="12"/>
      <c r="G1624" s="12"/>
      <c r="H1624" s="12"/>
      <c r="I1624" s="13">
        <v>0</v>
      </c>
      <c r="J1624" s="13">
        <v>0</v>
      </c>
      <c r="K1624" s="14" t="str">
        <f t="shared" si="462"/>
        <v>bitMomentum Bot</v>
      </c>
      <c r="L1624" s="13">
        <v>10132</v>
      </c>
      <c r="M1624" s="13">
        <v>1060</v>
      </c>
      <c r="N1624" s="13">
        <v>267</v>
      </c>
      <c r="O1624" s="15"/>
      <c r="P1624" s="6">
        <v>41608.667511574073</v>
      </c>
      <c r="Q1624" s="12"/>
      <c r="R1624" s="17" t="s">
        <v>371</v>
      </c>
      <c r="S1624" s="11" t="s">
        <v>372</v>
      </c>
      <c r="T1624" s="12"/>
      <c r="U1624" s="10" t="str">
        <f t="shared" si="463"/>
        <v>View</v>
      </c>
    </row>
    <row r="1625" spans="1:21" ht="51">
      <c r="A1625" s="6">
        <v>43418.084722222222</v>
      </c>
      <c r="B1625" s="7" t="str">
        <f t="shared" si="461"/>
        <v>@bitMomentum</v>
      </c>
      <c r="C1625" s="8" t="s">
        <v>368</v>
      </c>
      <c r="D1625" s="9" t="s">
        <v>5133</v>
      </c>
      <c r="E1625" s="10" t="str">
        <f>HYPERLINK("https://twitter.com/bitMomentum/status/1062510927067648006","1062510927067648006")</f>
        <v>1062510927067648006</v>
      </c>
      <c r="F1625" s="12"/>
      <c r="G1625" s="12"/>
      <c r="H1625" s="12"/>
      <c r="I1625" s="13">
        <v>0</v>
      </c>
      <c r="J1625" s="13">
        <v>0</v>
      </c>
      <c r="K1625" s="14" t="str">
        <f t="shared" si="462"/>
        <v>bitMomentum Bot</v>
      </c>
      <c r="L1625" s="13">
        <v>10132</v>
      </c>
      <c r="M1625" s="13">
        <v>1060</v>
      </c>
      <c r="N1625" s="13">
        <v>267</v>
      </c>
      <c r="O1625" s="15"/>
      <c r="P1625" s="6">
        <v>41608.667511574073</v>
      </c>
      <c r="Q1625" s="12"/>
      <c r="R1625" s="17" t="s">
        <v>371</v>
      </c>
      <c r="S1625" s="11" t="s">
        <v>372</v>
      </c>
      <c r="T1625" s="12"/>
      <c r="U1625" s="10" t="str">
        <f t="shared" si="463"/>
        <v>View</v>
      </c>
    </row>
    <row r="1626" spans="1:21" ht="51">
      <c r="A1626" s="6">
        <v>43418.084027777775</v>
      </c>
      <c r="B1626" s="7" t="str">
        <f t="shared" si="461"/>
        <v>@bitMomentum</v>
      </c>
      <c r="C1626" s="8" t="s">
        <v>368</v>
      </c>
      <c r="D1626" s="9" t="s">
        <v>5134</v>
      </c>
      <c r="E1626" s="10" t="str">
        <f>HYPERLINK("https://twitter.com/bitMomentum/status/1062510675426246657","1062510675426246657")</f>
        <v>1062510675426246657</v>
      </c>
      <c r="F1626" s="12"/>
      <c r="G1626" s="12"/>
      <c r="H1626" s="12"/>
      <c r="I1626" s="13">
        <v>0</v>
      </c>
      <c r="J1626" s="13">
        <v>0</v>
      </c>
      <c r="K1626" s="14" t="str">
        <f t="shared" si="462"/>
        <v>bitMomentum Bot</v>
      </c>
      <c r="L1626" s="13">
        <v>10132</v>
      </c>
      <c r="M1626" s="13">
        <v>1060</v>
      </c>
      <c r="N1626" s="13">
        <v>267</v>
      </c>
      <c r="O1626" s="15"/>
      <c r="P1626" s="6">
        <v>41608.667511574073</v>
      </c>
      <c r="Q1626" s="12"/>
      <c r="R1626" s="17" t="s">
        <v>371</v>
      </c>
      <c r="S1626" s="11" t="s">
        <v>372</v>
      </c>
      <c r="T1626" s="12"/>
      <c r="U1626" s="10" t="str">
        <f t="shared" si="463"/>
        <v>View</v>
      </c>
    </row>
    <row r="1627" spans="1:21" ht="61.2">
      <c r="A1627" s="6">
        <v>43418.077430555553</v>
      </c>
      <c r="B1627" s="7" t="str">
        <f>HYPERLINK("https://twitter.com/MiercolesDemo","@MiercolesDemo")</f>
        <v>@MiercolesDemo</v>
      </c>
      <c r="C1627" s="8" t="s">
        <v>5135</v>
      </c>
      <c r="D1627" s="9" t="s">
        <v>5136</v>
      </c>
      <c r="E1627" s="10" t="str">
        <f>HYPERLINK("https://twitter.com/MiercolesDemo/status/1062508285968957443","1062508285968957443")</f>
        <v>1062508285968957443</v>
      </c>
      <c r="F1627" s="12"/>
      <c r="G1627" s="11" t="s">
        <v>5137</v>
      </c>
      <c r="H1627" s="12"/>
      <c r="I1627" s="13">
        <v>0</v>
      </c>
      <c r="J1627" s="13">
        <v>0</v>
      </c>
      <c r="K1627" s="14" t="str">
        <f>HYPERLINK("http://twitter.com/download/iphone","Twitter for iPhone")</f>
        <v>Twitter for iPhone</v>
      </c>
      <c r="L1627" s="13">
        <v>632</v>
      </c>
      <c r="M1627" s="13">
        <v>2853</v>
      </c>
      <c r="N1627" s="13">
        <v>0</v>
      </c>
      <c r="O1627" s="15"/>
      <c r="P1627" s="6">
        <v>43412.016863425924</v>
      </c>
      <c r="Q1627" s="16" t="s">
        <v>66</v>
      </c>
      <c r="R1627" s="17" t="s">
        <v>5138</v>
      </c>
      <c r="S1627" s="12"/>
      <c r="T1627" s="12"/>
      <c r="U1627" s="10" t="str">
        <f>HYPERLINK("https://pbs.twimg.com/profile_images/1060319318842490885/kLWkyK7X.jpg","View")</f>
        <v>View</v>
      </c>
    </row>
    <row r="1628" spans="1:21" ht="20.399999999999999">
      <c r="A1628" s="6">
        <v>43418.054756944446</v>
      </c>
      <c r="B1628" s="7" t="str">
        <f>HYPERLINK("https://twitter.com/luisvaro8","@luisvaro8")</f>
        <v>@luisvaro8</v>
      </c>
      <c r="C1628" s="8" t="s">
        <v>5513</v>
      </c>
      <c r="D1628" s="9" t="s">
        <v>5514</v>
      </c>
      <c r="E1628" s="10" t="str">
        <f>HYPERLINK("https://twitter.com/luisvaro8/status/1062500069499457542","1062500069499457542")</f>
        <v>1062500069499457542</v>
      </c>
      <c r="F1628" s="12"/>
      <c r="G1628" s="12"/>
      <c r="H1628" s="12"/>
      <c r="I1628" s="13">
        <v>0</v>
      </c>
      <c r="J1628" s="13">
        <v>4</v>
      </c>
      <c r="K1628" s="14" t="str">
        <f>HYPERLINK("http://twitter.com/download/android","Twitter for Android")</f>
        <v>Twitter for Android</v>
      </c>
      <c r="L1628" s="13">
        <v>427</v>
      </c>
      <c r="M1628" s="13">
        <v>344</v>
      </c>
      <c r="N1628" s="13">
        <v>1</v>
      </c>
      <c r="O1628" s="15"/>
      <c r="P1628" s="6">
        <v>41401.687384259261</v>
      </c>
      <c r="Q1628" s="16" t="s">
        <v>5515</v>
      </c>
      <c r="R1628" s="17" t="s">
        <v>5516</v>
      </c>
      <c r="S1628" s="12"/>
      <c r="T1628" s="12"/>
      <c r="U1628" s="10" t="str">
        <f>HYPERLINK("https://pbs.twimg.com/profile_images/1015040745357631488/bF9u290m.jpg","View")</f>
        <v>View</v>
      </c>
    </row>
    <row r="1629" spans="1:21" ht="51">
      <c r="A1629" s="6">
        <v>43418.04305555555</v>
      </c>
      <c r="B1629" s="7" t="str">
        <f t="shared" ref="B1629:B1630" si="464">HYPERLINK("https://twitter.com/bitMomentum","@bitMomentum")</f>
        <v>@bitMomentum</v>
      </c>
      <c r="C1629" s="8" t="s">
        <v>368</v>
      </c>
      <c r="D1629" s="9" t="s">
        <v>5139</v>
      </c>
      <c r="E1629" s="10" t="str">
        <f>HYPERLINK("https://twitter.com/bitMomentum/status/1062495827510394880","1062495827510394880")</f>
        <v>1062495827510394880</v>
      </c>
      <c r="F1629" s="12"/>
      <c r="G1629" s="12"/>
      <c r="H1629" s="12"/>
      <c r="I1629" s="13">
        <v>0</v>
      </c>
      <c r="J1629" s="13">
        <v>0</v>
      </c>
      <c r="K1629" s="14" t="str">
        <f t="shared" ref="K1629:K1630" si="465">HYPERLINK("http://www.bitmomentum.com","bitMomentum Bot")</f>
        <v>bitMomentum Bot</v>
      </c>
      <c r="L1629" s="13">
        <v>10132</v>
      </c>
      <c r="M1629" s="13">
        <v>1060</v>
      </c>
      <c r="N1629" s="13">
        <v>267</v>
      </c>
      <c r="O1629" s="15"/>
      <c r="P1629" s="6">
        <v>41608.667511574073</v>
      </c>
      <c r="Q1629" s="12"/>
      <c r="R1629" s="17" t="s">
        <v>371</v>
      </c>
      <c r="S1629" s="11" t="s">
        <v>372</v>
      </c>
      <c r="T1629" s="12"/>
      <c r="U1629" s="10" t="str">
        <f t="shared" ref="U1629:U1630" si="466">HYPERLINK("https://pbs.twimg.com/profile_images/378800000862185241/20ij2H3u.png","View")</f>
        <v>View</v>
      </c>
    </row>
    <row r="1630" spans="1:21" ht="51">
      <c r="A1630" s="6">
        <v>43418.042361111111</v>
      </c>
      <c r="B1630" s="7" t="str">
        <f t="shared" si="464"/>
        <v>@bitMomentum</v>
      </c>
      <c r="C1630" s="8" t="s">
        <v>368</v>
      </c>
      <c r="D1630" s="9" t="s">
        <v>5140</v>
      </c>
      <c r="E1630" s="10" t="str">
        <f>HYPERLINK("https://twitter.com/bitMomentum/status/1062495576045076480","1062495576045076480")</f>
        <v>1062495576045076480</v>
      </c>
      <c r="F1630" s="12"/>
      <c r="G1630" s="12"/>
      <c r="H1630" s="12"/>
      <c r="I1630" s="13">
        <v>0</v>
      </c>
      <c r="J1630" s="13">
        <v>1</v>
      </c>
      <c r="K1630" s="14" t="str">
        <f t="shared" si="465"/>
        <v>bitMomentum Bot</v>
      </c>
      <c r="L1630" s="13">
        <v>10132</v>
      </c>
      <c r="M1630" s="13">
        <v>1060</v>
      </c>
      <c r="N1630" s="13">
        <v>267</v>
      </c>
      <c r="O1630" s="15"/>
      <c r="P1630" s="6">
        <v>41608.667511574073</v>
      </c>
      <c r="Q1630" s="12"/>
      <c r="R1630" s="17" t="s">
        <v>371</v>
      </c>
      <c r="S1630" s="11" t="s">
        <v>372</v>
      </c>
      <c r="T1630" s="12"/>
      <c r="U1630" s="10" t="str">
        <f t="shared" si="466"/>
        <v>View</v>
      </c>
    </row>
    <row r="1631" spans="1:21" ht="61.2">
      <c r="A1631" s="6">
        <v>43418.036041666666</v>
      </c>
      <c r="B1631" s="7" t="str">
        <f>HYPERLINK("https://twitter.com/GVMUSINO","@GVMUSINO")</f>
        <v>@GVMUSINO</v>
      </c>
      <c r="C1631" s="8" t="s">
        <v>5517</v>
      </c>
      <c r="D1631" s="9" t="s">
        <v>5518</v>
      </c>
      <c r="E1631" s="10" t="str">
        <f>HYPERLINK("https://twitter.com/GVMUSINO/status/1062493287678992384","1062493287678992384")</f>
        <v>1062493287678992384</v>
      </c>
      <c r="F1631" s="11" t="s">
        <v>5519</v>
      </c>
      <c r="G1631" s="12"/>
      <c r="H1631" s="12"/>
      <c r="I1631" s="13">
        <v>0</v>
      </c>
      <c r="J1631" s="13">
        <v>5</v>
      </c>
      <c r="K1631" s="14" t="str">
        <f>HYPERLINK("http://twitter.com/download/android","Twitter for Android")</f>
        <v>Twitter for Android</v>
      </c>
      <c r="L1631" s="13">
        <v>790</v>
      </c>
      <c r="M1631" s="13">
        <v>207</v>
      </c>
      <c r="N1631" s="13">
        <v>22</v>
      </c>
      <c r="O1631" s="15"/>
      <c r="P1631" s="6">
        <v>41562.920370370368</v>
      </c>
      <c r="Q1631" s="16" t="s">
        <v>5520</v>
      </c>
      <c r="R1631" s="17" t="s">
        <v>5521</v>
      </c>
      <c r="S1631" s="12"/>
      <c r="T1631" s="12"/>
      <c r="U1631" s="10" t="str">
        <f>HYPERLINK("https://pbs.twimg.com/profile_images/1062505311100116992/Epc24Qd3.jpg","View")</f>
        <v>View</v>
      </c>
    </row>
    <row r="1632" spans="1:21" ht="20.399999999999999">
      <c r="A1632" s="6">
        <v>43418.020613425921</v>
      </c>
      <c r="B1632" s="7" t="str">
        <f>HYPERLINK("https://twitter.com/AdlerHolmes1","@AdlerHolmes1")</f>
        <v>@AdlerHolmes1</v>
      </c>
      <c r="C1632" s="8" t="s">
        <v>5141</v>
      </c>
      <c r="D1632" s="9" t="s">
        <v>5142</v>
      </c>
      <c r="E1632" s="10" t="str">
        <f>HYPERLINK("https://twitter.com/AdlerHolmes1/status/1062487695950266368","1062487695950266368")</f>
        <v>1062487695950266368</v>
      </c>
      <c r="F1632" s="12"/>
      <c r="G1632" s="11" t="s">
        <v>5143</v>
      </c>
      <c r="H1632" s="12"/>
      <c r="I1632" s="13">
        <v>0</v>
      </c>
      <c r="J1632" s="13">
        <v>0</v>
      </c>
      <c r="K1632" s="14" t="str">
        <f>HYPERLINK("https://mobile.twitter.com","Twitter Lite")</f>
        <v>Twitter Lite</v>
      </c>
      <c r="L1632" s="13">
        <v>47</v>
      </c>
      <c r="M1632" s="13">
        <v>145</v>
      </c>
      <c r="N1632" s="13">
        <v>0</v>
      </c>
      <c r="O1632" s="15"/>
      <c r="P1632" s="6">
        <v>41967.021793981483</v>
      </c>
      <c r="Q1632" s="16" t="s">
        <v>5144</v>
      </c>
      <c r="R1632" s="17" t="s">
        <v>5145</v>
      </c>
      <c r="S1632" s="12"/>
      <c r="T1632" s="12"/>
      <c r="U1632" s="10" t="str">
        <f>HYPERLINK("https://pbs.twimg.com/profile_images/1018897626325028864/0lV8HGmC.jpg","View")</f>
        <v>View</v>
      </c>
    </row>
    <row r="1633" spans="1:21" ht="30.6">
      <c r="A1633" s="6">
        <v>43418.012939814813</v>
      </c>
      <c r="B1633" s="7" t="str">
        <f>HYPERLINK("https://twitter.com/elperiodico","@elperiodico")</f>
        <v>@elperiodico</v>
      </c>
      <c r="C1633" s="8" t="s">
        <v>5522</v>
      </c>
      <c r="D1633" s="9" t="s">
        <v>5523</v>
      </c>
      <c r="E1633" s="10" t="str">
        <f>HYPERLINK("https://twitter.com/elperiodico/status/1062484915764248577","1062484915764248577")</f>
        <v>1062484915764248577</v>
      </c>
      <c r="F1633" s="11" t="s">
        <v>5524</v>
      </c>
      <c r="G1633" s="12"/>
      <c r="H1633" s="12"/>
      <c r="I1633" s="13">
        <v>1</v>
      </c>
      <c r="J1633" s="13">
        <v>3</v>
      </c>
      <c r="K1633" s="14" t="str">
        <f>HYPERLINK("http://dogtrack.es","DogTrack_Oficial")</f>
        <v>DogTrack_Oficial</v>
      </c>
      <c r="L1633" s="13">
        <v>596515</v>
      </c>
      <c r="M1633" s="13">
        <v>18498</v>
      </c>
      <c r="N1633" s="13">
        <v>6922</v>
      </c>
      <c r="O1633" s="23" t="s">
        <v>186</v>
      </c>
      <c r="P1633" s="6">
        <v>40456.539560185185</v>
      </c>
      <c r="Q1633" s="16" t="s">
        <v>571</v>
      </c>
      <c r="R1633" s="17" t="s">
        <v>5525</v>
      </c>
      <c r="S1633" s="11" t="s">
        <v>5526</v>
      </c>
      <c r="T1633" s="12"/>
      <c r="U1633" s="10" t="str">
        <f>HYPERLINK("https://pbs.twimg.com/profile_images/876802324135653377/s4G6oS9o.jpg","View")</f>
        <v>View</v>
      </c>
    </row>
    <row r="1634" spans="1:21" ht="20.399999999999999">
      <c r="A1634" s="6">
        <v>43418.00167824074</v>
      </c>
      <c r="B1634" s="7" t="str">
        <f>HYPERLINK("https://twitter.com/Mtm_29094","@Mtm_29094")</f>
        <v>@Mtm_29094</v>
      </c>
      <c r="C1634" s="8" t="s">
        <v>5527</v>
      </c>
      <c r="D1634" s="9" t="s">
        <v>5528</v>
      </c>
      <c r="E1634" s="10" t="str">
        <f>HYPERLINK("https://twitter.com/Mtm_29094/status/1062480836031852544","1062480836031852544")</f>
        <v>1062480836031852544</v>
      </c>
      <c r="F1634" s="11" t="s">
        <v>5529</v>
      </c>
      <c r="G1634" s="12"/>
      <c r="H1634" s="12"/>
      <c r="I1634" s="13">
        <v>0</v>
      </c>
      <c r="J1634" s="13">
        <v>0</v>
      </c>
      <c r="K1634" s="14" t="str">
        <f>HYPERLINK("http://twitter.com","Twitter Web Client")</f>
        <v>Twitter Web Client</v>
      </c>
      <c r="L1634" s="13">
        <v>100</v>
      </c>
      <c r="M1634" s="13">
        <v>288</v>
      </c>
      <c r="N1634" s="13">
        <v>0</v>
      </c>
      <c r="O1634" s="15"/>
      <c r="P1634" s="6">
        <v>42274.926053240742</v>
      </c>
      <c r="Q1634" s="12"/>
      <c r="R1634" s="21"/>
      <c r="S1634" s="12"/>
      <c r="T1634" s="12"/>
      <c r="U1634" s="10" t="str">
        <f>HYPERLINK("https://pbs.twimg.com/profile_images/864349112241487873/4K2fstYC.jpg","View")</f>
        <v>View</v>
      </c>
    </row>
    <row r="1635" spans="1:21" ht="51">
      <c r="A1635" s="6">
        <v>43418.001388888893</v>
      </c>
      <c r="B1635" s="7" t="str">
        <f t="shared" ref="B1635:B1636" si="467">HYPERLINK("https://twitter.com/bitMomentum","@bitMomentum")</f>
        <v>@bitMomentum</v>
      </c>
      <c r="C1635" s="8" t="s">
        <v>368</v>
      </c>
      <c r="D1635" s="9" t="s">
        <v>5146</v>
      </c>
      <c r="E1635" s="10" t="str">
        <f>HYPERLINK("https://twitter.com/bitMomentum/status/1062480727994966017","1062480727994966017")</f>
        <v>1062480727994966017</v>
      </c>
      <c r="F1635" s="12"/>
      <c r="G1635" s="12"/>
      <c r="H1635" s="12"/>
      <c r="I1635" s="13">
        <v>0</v>
      </c>
      <c r="J1635" s="13">
        <v>1</v>
      </c>
      <c r="K1635" s="14" t="str">
        <f t="shared" ref="K1635:K1636" si="468">HYPERLINK("http://www.bitmomentum.com","bitMomentum Bot")</f>
        <v>bitMomentum Bot</v>
      </c>
      <c r="L1635" s="13">
        <v>10132</v>
      </c>
      <c r="M1635" s="13">
        <v>1060</v>
      </c>
      <c r="N1635" s="13">
        <v>267</v>
      </c>
      <c r="O1635" s="15"/>
      <c r="P1635" s="6">
        <v>41608.667511574073</v>
      </c>
      <c r="Q1635" s="12"/>
      <c r="R1635" s="17" t="s">
        <v>371</v>
      </c>
      <c r="S1635" s="11" t="s">
        <v>372</v>
      </c>
      <c r="T1635" s="12"/>
      <c r="U1635" s="10" t="str">
        <f t="shared" ref="U1635:U1636" si="469">HYPERLINK("https://pbs.twimg.com/profile_images/378800000862185241/20ij2H3u.png","View")</f>
        <v>View</v>
      </c>
    </row>
    <row r="1636" spans="1:21" ht="40.799999999999997">
      <c r="A1636" s="6">
        <v>43418.000694444447</v>
      </c>
      <c r="B1636" s="7" t="str">
        <f t="shared" si="467"/>
        <v>@bitMomentum</v>
      </c>
      <c r="C1636" s="8" t="s">
        <v>368</v>
      </c>
      <c r="D1636" s="9" t="s">
        <v>5147</v>
      </c>
      <c r="E1636" s="10" t="str">
        <f>HYPERLINK("https://twitter.com/bitMomentum/status/1062480476311638016","1062480476311638016")</f>
        <v>1062480476311638016</v>
      </c>
      <c r="F1636" s="12"/>
      <c r="G1636" s="12"/>
      <c r="H1636" s="12"/>
      <c r="I1636" s="13">
        <v>0</v>
      </c>
      <c r="J1636" s="13">
        <v>1</v>
      </c>
      <c r="K1636" s="14" t="str">
        <f t="shared" si="468"/>
        <v>bitMomentum Bot</v>
      </c>
      <c r="L1636" s="13">
        <v>10132</v>
      </c>
      <c r="M1636" s="13">
        <v>1060</v>
      </c>
      <c r="N1636" s="13">
        <v>267</v>
      </c>
      <c r="O1636" s="15"/>
      <c r="P1636" s="6">
        <v>41608.667511574073</v>
      </c>
      <c r="Q1636" s="12"/>
      <c r="R1636" s="17" t="s">
        <v>371</v>
      </c>
      <c r="S1636" s="11" t="s">
        <v>372</v>
      </c>
      <c r="T1636" s="12"/>
      <c r="U1636" s="10" t="str">
        <f t="shared" si="469"/>
        <v>View</v>
      </c>
    </row>
    <row r="1637" spans="1:21" ht="20.399999999999999">
      <c r="A1637" s="6">
        <v>43417.998067129629</v>
      </c>
      <c r="B1637" s="7" t="str">
        <f>HYPERLINK("https://twitter.com/NautilusProy","@NautilusProy")</f>
        <v>@NautilusProy</v>
      </c>
      <c r="C1637" s="8" t="s">
        <v>1832</v>
      </c>
      <c r="D1637" s="9" t="s">
        <v>5530</v>
      </c>
      <c r="E1637" s="10" t="str">
        <f>HYPERLINK("https://twitter.com/NautilusProy/status/1062479526314303488","1062479526314303488")</f>
        <v>1062479526314303488</v>
      </c>
      <c r="F1637" s="11" t="s">
        <v>5531</v>
      </c>
      <c r="G1637" s="12"/>
      <c r="H1637" s="12"/>
      <c r="I1637" s="13">
        <v>0</v>
      </c>
      <c r="J1637" s="13">
        <v>0</v>
      </c>
      <c r="K1637" s="14" t="str">
        <f>HYPERLINK("http://www.facebook.com/twitter","Facebook")</f>
        <v>Facebook</v>
      </c>
      <c r="L1637" s="13">
        <v>157</v>
      </c>
      <c r="M1637" s="13">
        <v>311</v>
      </c>
      <c r="N1637" s="13">
        <v>4</v>
      </c>
      <c r="O1637" s="15"/>
      <c r="P1637" s="6">
        <v>42584.535949074074</v>
      </c>
      <c r="Q1637" s="16" t="s">
        <v>66</v>
      </c>
      <c r="R1637" s="21"/>
      <c r="S1637" s="12"/>
      <c r="T1637" s="12"/>
      <c r="U1637" s="10" t="str">
        <f>HYPERLINK("https://pbs.twimg.com/profile_images/806860374305816576/DQGlC9Yn.jpg","View")</f>
        <v>View</v>
      </c>
    </row>
    <row r="1638" spans="1:21" ht="91.8">
      <c r="A1638" s="6">
        <v>43417.994027777779</v>
      </c>
      <c r="B1638" s="7" t="str">
        <f>HYPERLINK("https://twitter.com/ExpositoOrteg","@ExpositoOrteg")</f>
        <v>@ExpositoOrteg</v>
      </c>
      <c r="C1638" s="8" t="s">
        <v>3909</v>
      </c>
      <c r="D1638" s="9" t="s">
        <v>5148</v>
      </c>
      <c r="E1638" s="10" t="str">
        <f>HYPERLINK("https://twitter.com/ExpositoOrteg/status/1062478062183432192","1062478062183432192")</f>
        <v>1062478062183432192</v>
      </c>
      <c r="F1638" s="16" t="s">
        <v>5149</v>
      </c>
      <c r="G1638" s="12"/>
      <c r="H1638" s="12"/>
      <c r="I1638" s="13">
        <v>35</v>
      </c>
      <c r="J1638" s="13">
        <v>32</v>
      </c>
      <c r="K1638" s="14" t="str">
        <f>HYPERLINK("http://twitter.com/download/android","Twitter for Android")</f>
        <v>Twitter for Android</v>
      </c>
      <c r="L1638" s="13">
        <v>19680</v>
      </c>
      <c r="M1638" s="13">
        <v>12915</v>
      </c>
      <c r="N1638" s="13">
        <v>102</v>
      </c>
      <c r="O1638" s="15"/>
      <c r="P1638" s="6">
        <v>41567.481932870374</v>
      </c>
      <c r="Q1638" s="16" t="s">
        <v>3912</v>
      </c>
      <c r="R1638" s="17" t="s">
        <v>3913</v>
      </c>
      <c r="S1638" s="12"/>
      <c r="T1638" s="12"/>
      <c r="U1638" s="10" t="str">
        <f>HYPERLINK("https://pbs.twimg.com/profile_images/1015569711843512320/N5iD7fWY.jpg","View")</f>
        <v>View</v>
      </c>
    </row>
    <row r="1639" spans="1:21" ht="30.6">
      <c r="A1639" s="6">
        <v>43417.99050925926</v>
      </c>
      <c r="B1639" s="7" t="str">
        <f>HYPERLINK("https://twitter.com/VotemosVox","@VotemosVox")</f>
        <v>@VotemosVox</v>
      </c>
      <c r="C1639" s="8" t="s">
        <v>4573</v>
      </c>
      <c r="D1639" s="9" t="s">
        <v>5152</v>
      </c>
      <c r="E1639" s="10" t="str">
        <f>HYPERLINK("https://twitter.com/VotemosVox/status/1062476786565570560","1062476786565570560")</f>
        <v>1062476786565570560</v>
      </c>
      <c r="F1639" s="12"/>
      <c r="G1639" s="11" t="s">
        <v>5153</v>
      </c>
      <c r="H1639" s="12"/>
      <c r="I1639" s="13">
        <v>3</v>
      </c>
      <c r="J1639" s="13">
        <v>4</v>
      </c>
      <c r="K1639" s="14" t="str">
        <f>HYPERLINK("http://twitter.com/download/iphone","Twitter for iPhone")</f>
        <v>Twitter for iPhone</v>
      </c>
      <c r="L1639" s="13">
        <v>422</v>
      </c>
      <c r="M1639" s="13">
        <v>65</v>
      </c>
      <c r="N1639" s="13">
        <v>2</v>
      </c>
      <c r="O1639" s="15"/>
      <c r="P1639" s="6">
        <v>43265.69494212963</v>
      </c>
      <c r="Q1639" s="16" t="s">
        <v>66</v>
      </c>
      <c r="R1639" s="17" t="s">
        <v>4575</v>
      </c>
      <c r="S1639" s="12"/>
      <c r="T1639" s="12"/>
      <c r="U1639" s="10" t="str">
        <f>HYPERLINK("https://pbs.twimg.com/profile_images/1062288281453371392/pT1qH1MZ.jpg","View")</f>
        <v>View</v>
      </c>
    </row>
    <row r="1640" spans="1:21" ht="40.799999999999997">
      <c r="A1640" s="6">
        <v>43417.985439814816</v>
      </c>
      <c r="B1640" s="7" t="str">
        <f>HYPERLINK("https://twitter.com/Sacre","@Sacre")</f>
        <v>@Sacre</v>
      </c>
      <c r="C1640" s="8" t="s">
        <v>5532</v>
      </c>
      <c r="D1640" s="9" t="s">
        <v>5533</v>
      </c>
      <c r="E1640" s="10" t="str">
        <f>HYPERLINK("https://twitter.com/Sacre/status/1062474950936850432","1062474950936850432")</f>
        <v>1062474950936850432</v>
      </c>
      <c r="F1640" s="11" t="s">
        <v>5534</v>
      </c>
      <c r="G1640" s="12"/>
      <c r="H1640" s="12"/>
      <c r="I1640" s="13">
        <v>1</v>
      </c>
      <c r="J1640" s="13">
        <v>2</v>
      </c>
      <c r="K1640" s="14" t="str">
        <f>HYPERLINK("http://twitter.com/download/android","Twitter for Android")</f>
        <v>Twitter for Android</v>
      </c>
      <c r="L1640" s="13">
        <v>6371</v>
      </c>
      <c r="M1640" s="13">
        <v>948</v>
      </c>
      <c r="N1640" s="13">
        <v>103</v>
      </c>
      <c r="O1640" s="15"/>
      <c r="P1640" s="6">
        <v>41377.870127314818</v>
      </c>
      <c r="Q1640" s="16" t="s">
        <v>423</v>
      </c>
      <c r="R1640" s="17" t="s">
        <v>5535</v>
      </c>
      <c r="S1640" s="11" t="s">
        <v>5536</v>
      </c>
      <c r="T1640" s="12"/>
      <c r="U1640" s="10" t="str">
        <f>HYPERLINK("https://pbs.twimg.com/profile_images/1019954680825286657/kHuCV6Wv.jpg","View")</f>
        <v>View</v>
      </c>
    </row>
    <row r="1641" spans="1:21" ht="40.799999999999997">
      <c r="A1641" s="6">
        <v>43417.982175925921</v>
      </c>
      <c r="B1641" s="7" t="str">
        <f>HYPERLINK("https://twitter.com/bellaindomita","@bellaindomita")</f>
        <v>@bellaindomita</v>
      </c>
      <c r="C1641" s="8" t="s">
        <v>3701</v>
      </c>
      <c r="D1641" s="9" t="s">
        <v>5156</v>
      </c>
      <c r="E1641" s="10" t="str">
        <f>HYPERLINK("https://twitter.com/bellaindomita/status/1062473766985457675","1062473766985457675")</f>
        <v>1062473766985457675</v>
      </c>
      <c r="F1641" s="12"/>
      <c r="G1641" s="11" t="s">
        <v>5157</v>
      </c>
      <c r="H1641" s="12"/>
      <c r="I1641" s="13">
        <v>7</v>
      </c>
      <c r="J1641" s="13">
        <v>42</v>
      </c>
      <c r="K1641" s="14" t="str">
        <f>HYPERLINK("http://twitter.com/download/iphone","Twitter for iPhone")</f>
        <v>Twitter for iPhone</v>
      </c>
      <c r="L1641" s="13">
        <v>13823</v>
      </c>
      <c r="M1641" s="13">
        <v>614</v>
      </c>
      <c r="N1641" s="13">
        <v>211</v>
      </c>
      <c r="O1641" s="15"/>
      <c r="P1641" s="6">
        <v>39875.495624999996</v>
      </c>
      <c r="Q1641" s="16" t="s">
        <v>3703</v>
      </c>
      <c r="R1641" s="17" t="s">
        <v>3704</v>
      </c>
      <c r="S1641" s="11" t="s">
        <v>3705</v>
      </c>
      <c r="T1641" s="12"/>
      <c r="U1641" s="10" t="str">
        <f>HYPERLINK("https://pbs.twimg.com/profile_images/1019999886375256066/57A9nYKn.jpg","View")</f>
        <v>View</v>
      </c>
    </row>
    <row r="1642" spans="1:21" ht="51">
      <c r="A1642" s="6">
        <v>43417.981064814812</v>
      </c>
      <c r="B1642" s="7" t="str">
        <f>HYPERLINK("https://twitter.com/SergioM59701729","@SergioM59701729")</f>
        <v>@SergioM59701729</v>
      </c>
      <c r="C1642" s="8" t="s">
        <v>4343</v>
      </c>
      <c r="D1642" s="9" t="s">
        <v>5158</v>
      </c>
      <c r="E1642" s="10" t="str">
        <f>HYPERLINK("https://twitter.com/SergioM59701729/status/1062473364021886977","1062473364021886977")</f>
        <v>1062473364021886977</v>
      </c>
      <c r="F1642" s="11" t="s">
        <v>5159</v>
      </c>
      <c r="G1642" s="12"/>
      <c r="H1642" s="12"/>
      <c r="I1642" s="13">
        <v>2</v>
      </c>
      <c r="J1642" s="13">
        <v>3</v>
      </c>
      <c r="K1642" s="14" t="str">
        <f>HYPERLINK("http://twitter.com/download/android","Twitter for Android")</f>
        <v>Twitter for Android</v>
      </c>
      <c r="L1642" s="13">
        <v>226</v>
      </c>
      <c r="M1642" s="13">
        <v>495</v>
      </c>
      <c r="N1642" s="13">
        <v>1</v>
      </c>
      <c r="O1642" s="15"/>
      <c r="P1642" s="6">
        <v>43316.847222222219</v>
      </c>
      <c r="Q1642" s="16" t="s">
        <v>275</v>
      </c>
      <c r="R1642" s="17" t="s">
        <v>4345</v>
      </c>
      <c r="S1642" s="12"/>
      <c r="T1642" s="12"/>
      <c r="U1642" s="10" t="str">
        <f>HYPERLINK("https://pbs.twimg.com/profile_images/1062420437890723842/5UtXQcuk.jpg","View")</f>
        <v>View</v>
      </c>
    </row>
    <row r="1643" spans="1:21" ht="102">
      <c r="A1643" s="6">
        <v>43417.979814814811</v>
      </c>
      <c r="B1643" s="7" t="str">
        <f>HYPERLINK("https://twitter.com/Jrmgonzalez","@Jrmgonzalez")</f>
        <v>@Jrmgonzalez</v>
      </c>
      <c r="C1643" s="8" t="s">
        <v>308</v>
      </c>
      <c r="D1643" s="9" t="s">
        <v>5160</v>
      </c>
      <c r="E1643" s="10" t="str">
        <f>HYPERLINK("https://twitter.com/Jrmgonzalez/status/1062472909560709120","1062472909560709120")</f>
        <v>1062472909560709120</v>
      </c>
      <c r="F1643" s="11" t="s">
        <v>5161</v>
      </c>
      <c r="G1643" s="11" t="s">
        <v>5162</v>
      </c>
      <c r="H1643" s="12"/>
      <c r="I1643" s="13">
        <v>0</v>
      </c>
      <c r="J1643" s="13">
        <v>2</v>
      </c>
      <c r="K1643" s="14" t="str">
        <f>HYPERLINK("http://twitter.com/download/iphone","Twitter for iPhone")</f>
        <v>Twitter for iPhone</v>
      </c>
      <c r="L1643" s="13">
        <v>32</v>
      </c>
      <c r="M1643" s="13">
        <v>265</v>
      </c>
      <c r="N1643" s="13">
        <v>2</v>
      </c>
      <c r="O1643" s="15"/>
      <c r="P1643" s="6">
        <v>41696.563379629632</v>
      </c>
      <c r="Q1643" s="16" t="s">
        <v>312</v>
      </c>
      <c r="R1643" s="17" t="s">
        <v>313</v>
      </c>
      <c r="S1643" s="12"/>
      <c r="T1643" s="12"/>
      <c r="U1643" s="10" t="str">
        <f>HYPERLINK("https://pbs.twimg.com/profile_images/951188977960222721/P3ZmIVlt.jpg","View")</f>
        <v>View</v>
      </c>
    </row>
    <row r="1644" spans="1:21" ht="20.399999999999999">
      <c r="A1644" s="6">
        <v>43417.969178240739</v>
      </c>
      <c r="B1644" s="7" t="str">
        <f>HYPERLINK("https://twitter.com/jon_mcenroe","@jon_mcenroe")</f>
        <v>@jon_mcenroe</v>
      </c>
      <c r="C1644" s="8" t="s">
        <v>4874</v>
      </c>
      <c r="D1644" s="9" t="s">
        <v>5163</v>
      </c>
      <c r="E1644" s="10" t="str">
        <f>HYPERLINK("https://twitter.com/jon_mcenroe/status/1062469057792954369","1062469057792954369")</f>
        <v>1062469057792954369</v>
      </c>
      <c r="F1644" s="12"/>
      <c r="G1644" s="12"/>
      <c r="H1644" s="12"/>
      <c r="I1644" s="13">
        <v>1</v>
      </c>
      <c r="J1644" s="13">
        <v>18</v>
      </c>
      <c r="K1644" s="14" t="str">
        <f>HYPERLINK("http://twitter.com","Twitter Web Client")</f>
        <v>Twitter Web Client</v>
      </c>
      <c r="L1644" s="13">
        <v>34939</v>
      </c>
      <c r="M1644" s="13">
        <v>589</v>
      </c>
      <c r="N1644" s="13">
        <v>431</v>
      </c>
      <c r="O1644" s="15"/>
      <c r="P1644" s="6">
        <v>39380.647685185184</v>
      </c>
      <c r="Q1644" s="16" t="s">
        <v>4877</v>
      </c>
      <c r="R1644" s="17" t="s">
        <v>4878</v>
      </c>
      <c r="S1644" s="11" t="s">
        <v>4879</v>
      </c>
      <c r="T1644" s="12"/>
      <c r="U1644" s="10" t="str">
        <f>HYPERLINK("https://pbs.twimg.com/profile_images/880816628308553729/9LV4LJJ9.jpg","View")</f>
        <v>View</v>
      </c>
    </row>
    <row r="1645" spans="1:21" ht="61.2">
      <c r="A1645" s="6">
        <v>43417.967303240745</v>
      </c>
      <c r="B1645" s="7" t="str">
        <f>HYPERLINK("https://twitter.com/profesorjaen","@profesorjaen")</f>
        <v>@profesorjaen</v>
      </c>
      <c r="C1645" s="8" t="s">
        <v>2688</v>
      </c>
      <c r="D1645" s="9" t="s">
        <v>5166</v>
      </c>
      <c r="E1645" s="10" t="str">
        <f>HYPERLINK("https://twitter.com/profesorjaen/status/1062468375190880258","1062468375190880258")</f>
        <v>1062468375190880258</v>
      </c>
      <c r="F1645" s="12"/>
      <c r="G1645" s="11" t="s">
        <v>5167</v>
      </c>
      <c r="H1645" s="12"/>
      <c r="I1645" s="13">
        <v>10</v>
      </c>
      <c r="J1645" s="13">
        <v>22</v>
      </c>
      <c r="K1645" s="14" t="str">
        <f t="shared" ref="K1645:K1648" si="470">HYPERLINK("http://twitter.com/download/android","Twitter for Android")</f>
        <v>Twitter for Android</v>
      </c>
      <c r="L1645" s="13">
        <v>6310</v>
      </c>
      <c r="M1645" s="13">
        <v>210</v>
      </c>
      <c r="N1645" s="13">
        <v>118</v>
      </c>
      <c r="O1645" s="15"/>
      <c r="P1645" s="6">
        <v>40844.911736111113</v>
      </c>
      <c r="Q1645" s="16" t="s">
        <v>66</v>
      </c>
      <c r="R1645" s="17" t="s">
        <v>2691</v>
      </c>
      <c r="S1645" s="11" t="s">
        <v>2692</v>
      </c>
      <c r="T1645" s="12"/>
      <c r="U1645" s="10" t="str">
        <f>HYPERLINK("https://pbs.twimg.com/profile_images/914109676748509184/ubpWdGIE.jpg","View")</f>
        <v>View</v>
      </c>
    </row>
    <row r="1646" spans="1:21" ht="13.2">
      <c r="A1646" s="6">
        <v>43417.966967592598</v>
      </c>
      <c r="B1646" s="7" t="str">
        <f>HYPERLINK("https://twitter.com/niggerdeguetto","@niggerdeguetto")</f>
        <v>@niggerdeguetto</v>
      </c>
      <c r="C1646" s="8" t="s">
        <v>5537</v>
      </c>
      <c r="D1646" s="9" t="s">
        <v>5538</v>
      </c>
      <c r="E1646" s="10" t="str">
        <f>HYPERLINK("https://twitter.com/niggerdeguetto/status/1062468256257191936","1062468256257191936")</f>
        <v>1062468256257191936</v>
      </c>
      <c r="F1646" s="12"/>
      <c r="G1646" s="11" t="s">
        <v>5539</v>
      </c>
      <c r="H1646" s="12"/>
      <c r="I1646" s="13">
        <v>15</v>
      </c>
      <c r="J1646" s="13">
        <v>48</v>
      </c>
      <c r="K1646" s="14" t="str">
        <f t="shared" si="470"/>
        <v>Twitter for Android</v>
      </c>
      <c r="L1646" s="13">
        <v>10268</v>
      </c>
      <c r="M1646" s="13">
        <v>437</v>
      </c>
      <c r="N1646" s="13">
        <v>160</v>
      </c>
      <c r="O1646" s="15"/>
      <c r="P1646" s="6">
        <v>42082.724976851852</v>
      </c>
      <c r="Q1646" s="12"/>
      <c r="R1646" s="17" t="s">
        <v>5540</v>
      </c>
      <c r="S1646" s="12"/>
      <c r="T1646" s="12"/>
      <c r="U1646" s="10" t="str">
        <f>HYPERLINK("https://pbs.twimg.com/profile_images/971369041242804224/MCKvO-Xb.jpg","View")</f>
        <v>View</v>
      </c>
    </row>
    <row r="1647" spans="1:21" ht="81.599999999999994">
      <c r="A1647" s="6">
        <v>43417.964814814812</v>
      </c>
      <c r="B1647" s="7" t="str">
        <f>HYPERLINK("https://twitter.com/AlvaritoNavarro","@AlvaritoNavarro")</f>
        <v>@AlvaritoNavarro</v>
      </c>
      <c r="C1647" s="8" t="s">
        <v>4903</v>
      </c>
      <c r="D1647" s="9" t="s">
        <v>4905</v>
      </c>
      <c r="E1647" s="10" t="str">
        <f>HYPERLINK("https://twitter.com/AlvaritoNavarro/status/1062467477530177539","1062467477530177539")</f>
        <v>1062467477530177539</v>
      </c>
      <c r="F1647" s="11" t="s">
        <v>4730</v>
      </c>
      <c r="G1647" s="12"/>
      <c r="H1647" s="12"/>
      <c r="I1647" s="13">
        <v>0</v>
      </c>
      <c r="J1647" s="13">
        <v>0</v>
      </c>
      <c r="K1647" s="14" t="str">
        <f t="shared" si="470"/>
        <v>Twitter for Android</v>
      </c>
      <c r="L1647" s="13">
        <v>284</v>
      </c>
      <c r="M1647" s="13">
        <v>473</v>
      </c>
      <c r="N1647" s="13">
        <v>0</v>
      </c>
      <c r="O1647" s="15"/>
      <c r="P1647" s="6">
        <v>40452.703634259262</v>
      </c>
      <c r="Q1647" s="16" t="s">
        <v>3866</v>
      </c>
      <c r="R1647" s="17" t="s">
        <v>4909</v>
      </c>
      <c r="S1647" s="12"/>
      <c r="T1647" s="12"/>
      <c r="U1647" s="10" t="str">
        <f>HYPERLINK("https://pbs.twimg.com/profile_images/613408004071931904/w50ARt8k.jpg","View")</f>
        <v>View</v>
      </c>
    </row>
    <row r="1648" spans="1:21" ht="71.400000000000006">
      <c r="A1648" s="6">
        <v>43417.964247685188</v>
      </c>
      <c r="B1648" s="7" t="str">
        <f>HYPERLINK("https://twitter.com/ajtrvd","@ajtrvd")</f>
        <v>@ajtrvd</v>
      </c>
      <c r="C1648" s="8" t="s">
        <v>5168</v>
      </c>
      <c r="D1648" s="9" t="s">
        <v>5169</v>
      </c>
      <c r="E1648" s="10" t="str">
        <f>HYPERLINK("https://twitter.com/ajtrvd/status/1062467269979181057","1062467269979181057")</f>
        <v>1062467269979181057</v>
      </c>
      <c r="F1648" s="16" t="s">
        <v>5149</v>
      </c>
      <c r="G1648" s="12"/>
      <c r="H1648" s="12"/>
      <c r="I1648" s="13">
        <v>0</v>
      </c>
      <c r="J1648" s="13">
        <v>0</v>
      </c>
      <c r="K1648" s="14" t="str">
        <f t="shared" si="470"/>
        <v>Twitter for Android</v>
      </c>
      <c r="L1648" s="13">
        <v>163</v>
      </c>
      <c r="M1648" s="13">
        <v>432</v>
      </c>
      <c r="N1648" s="13">
        <v>2</v>
      </c>
      <c r="O1648" s="15"/>
      <c r="P1648" s="6">
        <v>41568.75880787037</v>
      </c>
      <c r="Q1648" s="12"/>
      <c r="R1648" s="17" t="s">
        <v>5170</v>
      </c>
      <c r="S1648" s="12"/>
      <c r="T1648" s="12"/>
      <c r="U1648" s="10" t="str">
        <f>HYPERLINK("https://pbs.twimg.com/profile_images/786128451447193600/JY429MxO.jpg","View")</f>
        <v>View</v>
      </c>
    </row>
    <row r="1649" spans="1:21" ht="30.6">
      <c r="A1649" s="6">
        <v>43417.960844907408</v>
      </c>
      <c r="B1649" s="7" t="str">
        <f>HYPERLINK("https://twitter.com/valores_primero","@valores_primero")</f>
        <v>@valores_primero</v>
      </c>
      <c r="C1649" s="8" t="s">
        <v>1654</v>
      </c>
      <c r="D1649" s="9" t="s">
        <v>5171</v>
      </c>
      <c r="E1649" s="10" t="str">
        <f>HYPERLINK("https://twitter.com/valores_primero/status/1062466037663350786","1062466037663350786")</f>
        <v>1062466037663350786</v>
      </c>
      <c r="F1649" s="11" t="s">
        <v>5172</v>
      </c>
      <c r="G1649" s="12"/>
      <c r="H1649" s="12"/>
      <c r="I1649" s="13">
        <v>0</v>
      </c>
      <c r="J1649" s="13">
        <v>0</v>
      </c>
      <c r="K1649" s="14" t="str">
        <f>HYPERLINK("http://twitter.com","Twitter Web Client")</f>
        <v>Twitter Web Client</v>
      </c>
      <c r="L1649" s="13">
        <v>1093</v>
      </c>
      <c r="M1649" s="13">
        <v>885</v>
      </c>
      <c r="N1649" s="13">
        <v>27</v>
      </c>
      <c r="O1649" s="15"/>
      <c r="P1649" s="6">
        <v>40225.037233796298</v>
      </c>
      <c r="Q1649" s="12"/>
      <c r="R1649" s="17" t="s">
        <v>1657</v>
      </c>
      <c r="S1649" s="12"/>
      <c r="T1649" s="12"/>
      <c r="U1649" s="10" t="str">
        <f>HYPERLINK("https://pbs.twimg.com/profile_images/786261820453560320/wXb1nnhH.jpg","View")</f>
        <v>View</v>
      </c>
    </row>
    <row r="1650" spans="1:21" ht="51">
      <c r="A1650" s="6">
        <v>43417.959722222222</v>
      </c>
      <c r="B1650" s="7" t="str">
        <f t="shared" ref="B1650:B1651" si="471">HYPERLINK("https://twitter.com/bitMomentum","@bitMomentum")</f>
        <v>@bitMomentum</v>
      </c>
      <c r="C1650" s="8" t="s">
        <v>368</v>
      </c>
      <c r="D1650" s="9" t="s">
        <v>5173</v>
      </c>
      <c r="E1650" s="10" t="str">
        <f>HYPERLINK("https://twitter.com/bitMomentum/status/1062465628576059393","1062465628576059393")</f>
        <v>1062465628576059393</v>
      </c>
      <c r="F1650" s="12"/>
      <c r="G1650" s="12"/>
      <c r="H1650" s="12"/>
      <c r="I1650" s="13">
        <v>0</v>
      </c>
      <c r="J1650" s="13">
        <v>1</v>
      </c>
      <c r="K1650" s="14" t="str">
        <f t="shared" ref="K1650:K1651" si="472">HYPERLINK("http://www.bitmomentum.com","bitMomentum Bot")</f>
        <v>bitMomentum Bot</v>
      </c>
      <c r="L1650" s="13">
        <v>10132</v>
      </c>
      <c r="M1650" s="13">
        <v>1060</v>
      </c>
      <c r="N1650" s="13">
        <v>267</v>
      </c>
      <c r="O1650" s="15"/>
      <c r="P1650" s="6">
        <v>41608.667511574073</v>
      </c>
      <c r="Q1650" s="12"/>
      <c r="R1650" s="17" t="s">
        <v>371</v>
      </c>
      <c r="S1650" s="11" t="s">
        <v>372</v>
      </c>
      <c r="T1650" s="12"/>
      <c r="U1650" s="10" t="str">
        <f t="shared" ref="U1650:U1651" si="473">HYPERLINK("https://pbs.twimg.com/profile_images/378800000862185241/20ij2H3u.png","View")</f>
        <v>View</v>
      </c>
    </row>
    <row r="1651" spans="1:21" ht="51">
      <c r="A1651" s="6">
        <v>43417.959027777775</v>
      </c>
      <c r="B1651" s="7" t="str">
        <f t="shared" si="471"/>
        <v>@bitMomentum</v>
      </c>
      <c r="C1651" s="8" t="s">
        <v>368</v>
      </c>
      <c r="D1651" s="9" t="s">
        <v>5174</v>
      </c>
      <c r="E1651" s="10" t="str">
        <f>HYPERLINK("https://twitter.com/bitMomentum/status/1062465376846516224","1062465376846516224")</f>
        <v>1062465376846516224</v>
      </c>
      <c r="F1651" s="12"/>
      <c r="G1651" s="12"/>
      <c r="H1651" s="12"/>
      <c r="I1651" s="13">
        <v>2</v>
      </c>
      <c r="J1651" s="13">
        <v>3</v>
      </c>
      <c r="K1651" s="14" t="str">
        <f t="shared" si="472"/>
        <v>bitMomentum Bot</v>
      </c>
      <c r="L1651" s="13">
        <v>10132</v>
      </c>
      <c r="M1651" s="13">
        <v>1060</v>
      </c>
      <c r="N1651" s="13">
        <v>267</v>
      </c>
      <c r="O1651" s="15"/>
      <c r="P1651" s="6">
        <v>41608.667511574073</v>
      </c>
      <c r="Q1651" s="12"/>
      <c r="R1651" s="17" t="s">
        <v>371</v>
      </c>
      <c r="S1651" s="11" t="s">
        <v>372</v>
      </c>
      <c r="T1651" s="12"/>
      <c r="U1651" s="10" t="str">
        <f t="shared" si="473"/>
        <v>View</v>
      </c>
    </row>
    <row r="1652" spans="1:21" ht="81.599999999999994">
      <c r="A1652" s="6">
        <v>43417.954722222217</v>
      </c>
      <c r="B1652" s="7" t="str">
        <f>HYPERLINK("https://twitter.com/manstein1966","@manstein1966")</f>
        <v>@manstein1966</v>
      </c>
      <c r="C1652" s="8" t="s">
        <v>4330</v>
      </c>
      <c r="D1652" s="9" t="s">
        <v>5175</v>
      </c>
      <c r="E1652" s="10" t="str">
        <f>HYPERLINK("https://twitter.com/manstein1966/status/1062463818209656832","1062463818209656832")</f>
        <v>1062463818209656832</v>
      </c>
      <c r="F1652" s="16" t="s">
        <v>5176</v>
      </c>
      <c r="G1652" s="12"/>
      <c r="H1652" s="12"/>
      <c r="I1652" s="13">
        <v>0</v>
      </c>
      <c r="J1652" s="13">
        <v>0</v>
      </c>
      <c r="K1652" s="14" t="str">
        <f>HYPERLINK("http://twitter.com/#!/download/ipad","Twitter for iPad")</f>
        <v>Twitter for iPad</v>
      </c>
      <c r="L1652" s="13">
        <v>82</v>
      </c>
      <c r="M1652" s="13">
        <v>138</v>
      </c>
      <c r="N1652" s="13">
        <v>4</v>
      </c>
      <c r="O1652" s="15"/>
      <c r="P1652" s="6">
        <v>41799.953090277777</v>
      </c>
      <c r="Q1652" s="16" t="s">
        <v>301</v>
      </c>
      <c r="R1652" s="17" t="s">
        <v>4337</v>
      </c>
      <c r="S1652" s="12"/>
      <c r="T1652" s="12"/>
      <c r="U1652" s="10" t="str">
        <f>HYPERLINK("https://pbs.twimg.com/profile_images/772111827387965440/7igdjAFl.jpg","View")</f>
        <v>View</v>
      </c>
    </row>
    <row r="1653" spans="1:21" ht="51">
      <c r="A1653" s="6">
        <v>43417.954513888893</v>
      </c>
      <c r="B1653" s="7" t="str">
        <f>HYPERLINK("https://twitter.com/ostinus77","@ostinus77")</f>
        <v>@ostinus77</v>
      </c>
      <c r="C1653" s="8" t="s">
        <v>5177</v>
      </c>
      <c r="D1653" s="9" t="s">
        <v>5178</v>
      </c>
      <c r="E1653" s="10" t="str">
        <f>HYPERLINK("https://twitter.com/ostinus77/status/1062463743819481088","1062463743819481088")</f>
        <v>1062463743819481088</v>
      </c>
      <c r="F1653" s="11" t="s">
        <v>5179</v>
      </c>
      <c r="G1653" s="12"/>
      <c r="H1653" s="12"/>
      <c r="I1653" s="13">
        <v>0</v>
      </c>
      <c r="J1653" s="13">
        <v>7</v>
      </c>
      <c r="K1653" s="14" t="str">
        <f t="shared" ref="K1653:K1654" si="474">HYPERLINK("http://twitter.com/download/android","Twitter for Android")</f>
        <v>Twitter for Android</v>
      </c>
      <c r="L1653" s="13">
        <v>5137</v>
      </c>
      <c r="M1653" s="13">
        <v>4144</v>
      </c>
      <c r="N1653" s="13">
        <v>70</v>
      </c>
      <c r="O1653" s="15"/>
      <c r="P1653" s="6">
        <v>40998.787893518514</v>
      </c>
      <c r="Q1653" s="12"/>
      <c r="R1653" s="17" t="s">
        <v>5180</v>
      </c>
      <c r="S1653" s="11" t="s">
        <v>5181</v>
      </c>
      <c r="T1653" s="12"/>
      <c r="U1653" s="10" t="str">
        <f>HYPERLINK("https://pbs.twimg.com/profile_images/1060599390971314176/ly-bR6Ux.jpg","View")</f>
        <v>View</v>
      </c>
    </row>
    <row r="1654" spans="1:21" ht="40.799999999999997">
      <c r="A1654" s="6">
        <v>43417.952546296292</v>
      </c>
      <c r="B1654" s="7" t="str">
        <f>HYPERLINK("https://twitter.com/jonviene","@jonviene")</f>
        <v>@jonviene</v>
      </c>
      <c r="C1654" s="8" t="s">
        <v>5541</v>
      </c>
      <c r="D1654" s="9" t="s">
        <v>5542</v>
      </c>
      <c r="E1654" s="10" t="str">
        <f>HYPERLINK("https://twitter.com/jonviene/status/1062463029579841536","1062463029579841536")</f>
        <v>1062463029579841536</v>
      </c>
      <c r="F1654" s="12"/>
      <c r="G1654" s="12"/>
      <c r="H1654" s="12"/>
      <c r="I1654" s="13">
        <v>49</v>
      </c>
      <c r="J1654" s="13">
        <v>181</v>
      </c>
      <c r="K1654" s="14" t="str">
        <f t="shared" si="474"/>
        <v>Twitter for Android</v>
      </c>
      <c r="L1654" s="13">
        <v>16494</v>
      </c>
      <c r="M1654" s="13">
        <v>705</v>
      </c>
      <c r="N1654" s="13">
        <v>152</v>
      </c>
      <c r="O1654" s="15"/>
      <c r="P1654" s="6">
        <v>42627.413599537038</v>
      </c>
      <c r="Q1654" s="12"/>
      <c r="R1654" s="17" t="s">
        <v>5543</v>
      </c>
      <c r="S1654" s="12"/>
      <c r="T1654" s="12"/>
      <c r="U1654" s="10" t="str">
        <f>HYPERLINK("https://pbs.twimg.com/profile_images/1059064567685435392/hbIFqu5t.jpg","View")</f>
        <v>View</v>
      </c>
    </row>
    <row r="1655" spans="1:21" ht="81.599999999999994">
      <c r="A1655" s="6">
        <v>43417.947696759264</v>
      </c>
      <c r="B1655" s="7" t="str">
        <f>HYPERLINK("https://twitter.com/PatxiTxano","@PatxiTxano")</f>
        <v>@PatxiTxano</v>
      </c>
      <c r="C1655" s="8" t="s">
        <v>5544</v>
      </c>
      <c r="D1655" s="9" t="s">
        <v>5545</v>
      </c>
      <c r="E1655" s="10" t="str">
        <f>HYPERLINK("https://twitter.com/PatxiTxano/status/1062461271331737601","1062461271331737601")</f>
        <v>1062461271331737601</v>
      </c>
      <c r="F1655" s="11" t="s">
        <v>5546</v>
      </c>
      <c r="G1655" s="11" t="s">
        <v>5547</v>
      </c>
      <c r="H1655" s="12"/>
      <c r="I1655" s="13">
        <v>0</v>
      </c>
      <c r="J1655" s="13">
        <v>0</v>
      </c>
      <c r="K1655" s="14" t="str">
        <f>HYPERLINK("https://ifttt.com","IFTTT")</f>
        <v>IFTTT</v>
      </c>
      <c r="L1655" s="13">
        <v>150</v>
      </c>
      <c r="M1655" s="13">
        <v>38</v>
      </c>
      <c r="N1655" s="13">
        <v>1</v>
      </c>
      <c r="O1655" s="15"/>
      <c r="P1655" s="6">
        <v>42954.684537037036</v>
      </c>
      <c r="Q1655" s="12"/>
      <c r="R1655" s="21"/>
      <c r="S1655" s="12"/>
      <c r="T1655" s="12"/>
      <c r="U1655" s="10" t="str">
        <f>HYPERLINK("https://pbs.twimg.com/profile_images/933727741404475394/_my9TgYx.jpg","View")</f>
        <v>View</v>
      </c>
    </row>
    <row r="1656" spans="1:21" ht="30.6">
      <c r="A1656" s="6">
        <v>43417.937546296293</v>
      </c>
      <c r="B1656" s="7" t="str">
        <f>HYPERLINK("https://twitter.com/esdiarimenorca","@esdiarimenorca")</f>
        <v>@esdiarimenorca</v>
      </c>
      <c r="C1656" s="25" t="s">
        <v>5548</v>
      </c>
      <c r="D1656" s="9" t="s">
        <v>5549</v>
      </c>
      <c r="E1656" s="10" t="str">
        <f>HYPERLINK("https://twitter.com/esdiarimenorca/status/1062457592230936576","1062457592230936576")</f>
        <v>1062457592230936576</v>
      </c>
      <c r="F1656" s="11" t="s">
        <v>5550</v>
      </c>
      <c r="G1656" s="11" t="s">
        <v>5551</v>
      </c>
      <c r="H1656" s="12"/>
      <c r="I1656" s="13">
        <v>0</v>
      </c>
      <c r="J1656" s="13">
        <v>0</v>
      </c>
      <c r="K1656" s="14" t="str">
        <f>HYPERLINK("https://buffer.com","Buffer")</f>
        <v>Buffer</v>
      </c>
      <c r="L1656" s="13">
        <v>10240</v>
      </c>
      <c r="M1656" s="13">
        <v>1251</v>
      </c>
      <c r="N1656" s="13">
        <v>160</v>
      </c>
      <c r="O1656" s="15"/>
      <c r="P1656" s="6">
        <v>40479.752638888887</v>
      </c>
      <c r="Q1656" s="16" t="s">
        <v>5552</v>
      </c>
      <c r="R1656" s="17" t="s">
        <v>5553</v>
      </c>
      <c r="S1656" s="11" t="s">
        <v>5554</v>
      </c>
      <c r="T1656" s="12"/>
      <c r="U1656" s="10" t="str">
        <f>HYPERLINK("https://pbs.twimg.com/profile_images/1045015708466384896/b4sDvW9z.jpg","View")</f>
        <v>View</v>
      </c>
    </row>
    <row r="1657" spans="1:21" ht="20.399999999999999">
      <c r="A1657" s="6">
        <v>43417.932060185187</v>
      </c>
      <c r="B1657" s="7" t="str">
        <f>HYPERLINK("https://twitter.com/Escorpi54141821","@Escorpi54141821")</f>
        <v>@Escorpi54141821</v>
      </c>
      <c r="C1657" s="8" t="s">
        <v>5182</v>
      </c>
      <c r="D1657" s="9" t="s">
        <v>5183</v>
      </c>
      <c r="E1657" s="10" t="str">
        <f>HYPERLINK("https://twitter.com/Escorpi54141821/status/1062455606093758465","1062455606093758465")</f>
        <v>1062455606093758465</v>
      </c>
      <c r="F1657" s="11" t="s">
        <v>1209</v>
      </c>
      <c r="G1657" s="12"/>
      <c r="H1657" s="12"/>
      <c r="I1657" s="13">
        <v>0</v>
      </c>
      <c r="J1657" s="13">
        <v>1</v>
      </c>
      <c r="K1657" s="14" t="str">
        <f t="shared" ref="K1657:K1658" si="475">HYPERLINK("http://twitter.com/download/android","Twitter for Android")</f>
        <v>Twitter for Android</v>
      </c>
      <c r="L1657" s="13">
        <v>248</v>
      </c>
      <c r="M1657" s="13">
        <v>547</v>
      </c>
      <c r="N1657" s="13">
        <v>0</v>
      </c>
      <c r="O1657" s="15"/>
      <c r="P1657" s="6">
        <v>43370.991886574076</v>
      </c>
      <c r="Q1657" s="16" t="s">
        <v>4902</v>
      </c>
      <c r="R1657" s="17" t="s">
        <v>5184</v>
      </c>
      <c r="S1657" s="12"/>
      <c r="T1657" s="12"/>
      <c r="U1657" s="10" t="str">
        <f>HYPERLINK("https://pbs.twimg.com/profile_images/1050684097234956288/tpHJAZ5N.jpg","View")</f>
        <v>View</v>
      </c>
    </row>
    <row r="1658" spans="1:21" ht="20.399999999999999">
      <c r="A1658" s="6">
        <v>43417.931979166664</v>
      </c>
      <c r="B1658" s="7" t="str">
        <f>HYPERLINK("https://twitter.com/gadegania","@gadegania")</f>
        <v>@gadegania</v>
      </c>
      <c r="C1658" s="8" t="s">
        <v>5555</v>
      </c>
      <c r="D1658" s="9" t="s">
        <v>5556</v>
      </c>
      <c r="E1658" s="10" t="str">
        <f>HYPERLINK("https://twitter.com/gadegania/status/1062455575189934080","1062455575189934080")</f>
        <v>1062455575189934080</v>
      </c>
      <c r="F1658" s="12"/>
      <c r="G1658" s="11" t="s">
        <v>5557</v>
      </c>
      <c r="H1658" s="12"/>
      <c r="I1658" s="13">
        <v>0</v>
      </c>
      <c r="J1658" s="13">
        <v>2</v>
      </c>
      <c r="K1658" s="14" t="str">
        <f t="shared" si="475"/>
        <v>Twitter for Android</v>
      </c>
      <c r="L1658" s="13">
        <v>419</v>
      </c>
      <c r="M1658" s="13">
        <v>823</v>
      </c>
      <c r="N1658" s="13">
        <v>6</v>
      </c>
      <c r="O1658" s="15"/>
      <c r="P1658" s="6">
        <v>40577.575428240743</v>
      </c>
      <c r="Q1658" s="12"/>
      <c r="R1658" s="17" t="s">
        <v>5558</v>
      </c>
      <c r="S1658" s="12"/>
      <c r="T1658" s="12"/>
      <c r="U1658" s="10" t="str">
        <f>HYPERLINK("https://pbs.twimg.com/profile_images/427810095586877440/WIETzX0O.jpeg","View")</f>
        <v>View</v>
      </c>
    </row>
    <row r="1659" spans="1:21" ht="51">
      <c r="A1659" s="6">
        <v>43417.929270833338</v>
      </c>
      <c r="B1659" s="7" t="str">
        <f>HYPERLINK("https://twitter.com/CastilianWoman","@CastilianWoman")</f>
        <v>@CastilianWoman</v>
      </c>
      <c r="C1659" s="8" t="s">
        <v>4577</v>
      </c>
      <c r="D1659" s="9" t="s">
        <v>5185</v>
      </c>
      <c r="E1659" s="10" t="str">
        <f>HYPERLINK("https://twitter.com/CastilianWoman/status/1062454592863113216","1062454592863113216")</f>
        <v>1062454592863113216</v>
      </c>
      <c r="F1659" s="11" t="s">
        <v>5036</v>
      </c>
      <c r="G1659" s="12"/>
      <c r="H1659" s="12"/>
      <c r="I1659" s="13">
        <v>0</v>
      </c>
      <c r="J1659" s="13">
        <v>2</v>
      </c>
      <c r="K1659" s="14" t="str">
        <f>HYPERLINK("http://twitter.com/#!/download/ipad","Twitter for iPad")</f>
        <v>Twitter for iPad</v>
      </c>
      <c r="L1659" s="13">
        <v>2309</v>
      </c>
      <c r="M1659" s="13">
        <v>3902</v>
      </c>
      <c r="N1659" s="13">
        <v>23</v>
      </c>
      <c r="O1659" s="15"/>
      <c r="P1659" s="6">
        <v>42595.671261574069</v>
      </c>
      <c r="Q1659" s="16" t="s">
        <v>4579</v>
      </c>
      <c r="R1659" s="17" t="s">
        <v>4580</v>
      </c>
      <c r="S1659" s="12"/>
      <c r="T1659" s="12"/>
      <c r="U1659" s="10" t="str">
        <f>HYPERLINK("https://pbs.twimg.com/profile_images/927908445357002752/7Zlsd7X9.jpg","View")</f>
        <v>View</v>
      </c>
    </row>
    <row r="1660" spans="1:21" ht="51">
      <c r="A1660" s="6">
        <v>43417.928703703699</v>
      </c>
      <c r="B1660" s="7" t="str">
        <f t="shared" ref="B1660:B1661" si="476">HYPERLINK("https://twitter.com/bitMomentum","@bitMomentum")</f>
        <v>@bitMomentum</v>
      </c>
      <c r="C1660" s="8" t="s">
        <v>368</v>
      </c>
      <c r="D1660" s="9" t="s">
        <v>5186</v>
      </c>
      <c r="E1660" s="10" t="str">
        <f>HYPERLINK("https://twitter.com/bitMomentum/status/1062454389288378368","1062454389288378368")</f>
        <v>1062454389288378368</v>
      </c>
      <c r="F1660" s="12"/>
      <c r="G1660" s="11" t="s">
        <v>5187</v>
      </c>
      <c r="H1660" s="12"/>
      <c r="I1660" s="13">
        <v>0</v>
      </c>
      <c r="J1660" s="13">
        <v>0</v>
      </c>
      <c r="K1660" s="14" t="str">
        <f t="shared" ref="K1660:K1661" si="477">HYPERLINK("http://www.bitmomentum.com","bitMomentum Bot")</f>
        <v>bitMomentum Bot</v>
      </c>
      <c r="L1660" s="13">
        <v>10132</v>
      </c>
      <c r="M1660" s="13">
        <v>1060</v>
      </c>
      <c r="N1660" s="13">
        <v>267</v>
      </c>
      <c r="O1660" s="15"/>
      <c r="P1660" s="6">
        <v>41608.667511574073</v>
      </c>
      <c r="Q1660" s="12"/>
      <c r="R1660" s="17" t="s">
        <v>371</v>
      </c>
      <c r="S1660" s="11" t="s">
        <v>372</v>
      </c>
      <c r="T1660" s="12"/>
      <c r="U1660" s="10" t="str">
        <f t="shared" ref="U1660:U1661" si="478">HYPERLINK("https://pbs.twimg.com/profile_images/378800000862185241/20ij2H3u.png","View")</f>
        <v>View</v>
      </c>
    </row>
    <row r="1661" spans="1:21" ht="51">
      <c r="A1661" s="6">
        <v>43417.927974537037</v>
      </c>
      <c r="B1661" s="7" t="str">
        <f t="shared" si="476"/>
        <v>@bitMomentum</v>
      </c>
      <c r="C1661" s="8" t="s">
        <v>368</v>
      </c>
      <c r="D1661" s="9" t="s">
        <v>5188</v>
      </c>
      <c r="E1661" s="10" t="str">
        <f>HYPERLINK("https://twitter.com/bitMomentum/status/1062454126683058176","1062454126683058176")</f>
        <v>1062454126683058176</v>
      </c>
      <c r="F1661" s="12"/>
      <c r="G1661" s="11" t="s">
        <v>5189</v>
      </c>
      <c r="H1661" s="12"/>
      <c r="I1661" s="13">
        <v>0</v>
      </c>
      <c r="J1661" s="13">
        <v>0</v>
      </c>
      <c r="K1661" s="14" t="str">
        <f t="shared" si="477"/>
        <v>bitMomentum Bot</v>
      </c>
      <c r="L1661" s="13">
        <v>10132</v>
      </c>
      <c r="M1661" s="13">
        <v>1060</v>
      </c>
      <c r="N1661" s="13">
        <v>267</v>
      </c>
      <c r="O1661" s="15"/>
      <c r="P1661" s="6">
        <v>41608.667511574073</v>
      </c>
      <c r="Q1661" s="12"/>
      <c r="R1661" s="17" t="s">
        <v>371</v>
      </c>
      <c r="S1661" s="11" t="s">
        <v>372</v>
      </c>
      <c r="T1661" s="12"/>
      <c r="U1661" s="10" t="str">
        <f t="shared" si="478"/>
        <v>View</v>
      </c>
    </row>
    <row r="1662" spans="1:21" ht="30.6">
      <c r="A1662" s="6">
        <v>43417.925486111111</v>
      </c>
      <c r="B1662" s="7" t="str">
        <f>HYPERLINK("https://twitter.com/Jeferdeladreda","@Jeferdeladreda")</f>
        <v>@Jeferdeladreda</v>
      </c>
      <c r="C1662" s="8" t="s">
        <v>5559</v>
      </c>
      <c r="D1662" s="9" t="s">
        <v>5560</v>
      </c>
      <c r="E1662" s="10" t="str">
        <f>HYPERLINK("https://twitter.com/Jeferdeladreda/status/1062453223263494145","1062453223263494145")</f>
        <v>1062453223263494145</v>
      </c>
      <c r="F1662" s="11" t="s">
        <v>5531</v>
      </c>
      <c r="G1662" s="12"/>
      <c r="H1662" s="12"/>
      <c r="I1662" s="13">
        <v>2</v>
      </c>
      <c r="J1662" s="13">
        <v>3</v>
      </c>
      <c r="K1662" s="14" t="str">
        <f>HYPERLINK("http://twitter.com/#!/download/ipad","Twitter for iPad")</f>
        <v>Twitter for iPad</v>
      </c>
      <c r="L1662" s="13">
        <v>719</v>
      </c>
      <c r="M1662" s="13">
        <v>1246</v>
      </c>
      <c r="N1662" s="13">
        <v>0</v>
      </c>
      <c r="O1662" s="15"/>
      <c r="P1662" s="6">
        <v>43350.347650462965</v>
      </c>
      <c r="Q1662" s="16" t="s">
        <v>5561</v>
      </c>
      <c r="R1662" s="17" t="s">
        <v>5562</v>
      </c>
      <c r="S1662" s="12"/>
      <c r="T1662" s="12"/>
      <c r="U1662" s="10" t="str">
        <f>HYPERLINK("https://pbs.twimg.com/profile_images/1044671866693201921/pbMBhD4r.jpg","View")</f>
        <v>View</v>
      </c>
    </row>
    <row r="1663" spans="1:21" ht="61.2">
      <c r="A1663" s="6">
        <v>43417.923900462964</v>
      </c>
      <c r="B1663" s="7" t="str">
        <f>HYPERLINK("https://twitter.com/superspain83","@superspain83")</f>
        <v>@superspain83</v>
      </c>
      <c r="C1663" s="8" t="s">
        <v>776</v>
      </c>
      <c r="D1663" s="9" t="s">
        <v>5190</v>
      </c>
      <c r="E1663" s="10" t="str">
        <f>HYPERLINK("https://twitter.com/superspain83/status/1062452646697750529","1062452646697750529")</f>
        <v>1062452646697750529</v>
      </c>
      <c r="F1663" s="11" t="s">
        <v>5191</v>
      </c>
      <c r="G1663" s="12"/>
      <c r="H1663" s="12"/>
      <c r="I1663" s="13">
        <v>1</v>
      </c>
      <c r="J1663" s="13">
        <v>1</v>
      </c>
      <c r="K1663" s="14" t="str">
        <f t="shared" ref="K1663:K1664" si="479">HYPERLINK("http://twitter.com/download/android","Twitter for Android")</f>
        <v>Twitter for Android</v>
      </c>
      <c r="L1663" s="13">
        <v>118</v>
      </c>
      <c r="M1663" s="13">
        <v>419</v>
      </c>
      <c r="N1663" s="13">
        <v>0</v>
      </c>
      <c r="O1663" s="15"/>
      <c r="P1663" s="6">
        <v>41946.566562499997</v>
      </c>
      <c r="Q1663" s="16" t="s">
        <v>779</v>
      </c>
      <c r="R1663" s="17" t="s">
        <v>780</v>
      </c>
      <c r="S1663" s="12"/>
      <c r="T1663" s="12"/>
      <c r="U1663" s="10" t="str">
        <f>HYPERLINK("https://pbs.twimg.com/profile_images/958107082250694656/l5HBQT4e.jpg","View")</f>
        <v>View</v>
      </c>
    </row>
    <row r="1664" spans="1:21" ht="20.399999999999999">
      <c r="A1664" s="6">
        <v>43417.918993055559</v>
      </c>
      <c r="B1664" s="7" t="str">
        <f>HYPERLINK("https://twitter.com/ggplasencia","@ggplasencia")</f>
        <v>@ggplasencia</v>
      </c>
      <c r="C1664" s="8" t="s">
        <v>5563</v>
      </c>
      <c r="D1664" s="9" t="s">
        <v>5564</v>
      </c>
      <c r="E1664" s="10" t="str">
        <f>HYPERLINK("https://twitter.com/ggplasencia/status/1062450872150642689","1062450872150642689")</f>
        <v>1062450872150642689</v>
      </c>
      <c r="F1664" s="12"/>
      <c r="G1664" s="11" t="s">
        <v>5565</v>
      </c>
      <c r="H1664" s="12"/>
      <c r="I1664" s="13">
        <v>0</v>
      </c>
      <c r="J1664" s="13">
        <v>1</v>
      </c>
      <c r="K1664" s="14" t="str">
        <f t="shared" si="479"/>
        <v>Twitter for Android</v>
      </c>
      <c r="L1664" s="13">
        <v>32</v>
      </c>
      <c r="M1664" s="13">
        <v>437</v>
      </c>
      <c r="N1664" s="13">
        <v>0</v>
      </c>
      <c r="O1664" s="15"/>
      <c r="P1664" s="6">
        <v>42628.000833333332</v>
      </c>
      <c r="Q1664" s="16" t="s">
        <v>5566</v>
      </c>
      <c r="R1664" s="21"/>
      <c r="S1664" s="12"/>
      <c r="T1664" s="12"/>
      <c r="U1664" s="10" t="str">
        <f>HYPERLINK("https://pbs.twimg.com/profile_images/1061074136435437568/YSj3mfmW.jpg","View")</f>
        <v>View</v>
      </c>
    </row>
    <row r="1665" spans="1:21" ht="51">
      <c r="A1665" s="6">
        <v>43417.91805555555</v>
      </c>
      <c r="B1665" s="7" t="str">
        <f t="shared" ref="B1665:B1666" si="480">HYPERLINK("https://twitter.com/bitMomentum","@bitMomentum")</f>
        <v>@bitMomentum</v>
      </c>
      <c r="C1665" s="8" t="s">
        <v>368</v>
      </c>
      <c r="D1665" s="9" t="s">
        <v>5196</v>
      </c>
      <c r="E1665" s="10" t="str">
        <f>HYPERLINK("https://twitter.com/bitMomentum/status/1062450529165590529","1062450529165590529")</f>
        <v>1062450529165590529</v>
      </c>
      <c r="F1665" s="12"/>
      <c r="G1665" s="12"/>
      <c r="H1665" s="12"/>
      <c r="I1665" s="13">
        <v>0</v>
      </c>
      <c r="J1665" s="13">
        <v>0</v>
      </c>
      <c r="K1665" s="14" t="str">
        <f t="shared" ref="K1665:K1666" si="481">HYPERLINK("http://www.bitmomentum.com","bitMomentum Bot")</f>
        <v>bitMomentum Bot</v>
      </c>
      <c r="L1665" s="13">
        <v>10132</v>
      </c>
      <c r="M1665" s="13">
        <v>1060</v>
      </c>
      <c r="N1665" s="13">
        <v>267</v>
      </c>
      <c r="O1665" s="15"/>
      <c r="P1665" s="6">
        <v>41608.667511574073</v>
      </c>
      <c r="Q1665" s="12"/>
      <c r="R1665" s="17" t="s">
        <v>371</v>
      </c>
      <c r="S1665" s="11" t="s">
        <v>372</v>
      </c>
      <c r="T1665" s="12"/>
      <c r="U1665" s="10" t="str">
        <f t="shared" ref="U1665:U1666" si="482">HYPERLINK("https://pbs.twimg.com/profile_images/378800000862185241/20ij2H3u.png","View")</f>
        <v>View</v>
      </c>
    </row>
    <row r="1666" spans="1:21" ht="51">
      <c r="A1666" s="6">
        <v>43417.917361111111</v>
      </c>
      <c r="B1666" s="7" t="str">
        <f t="shared" si="480"/>
        <v>@bitMomentum</v>
      </c>
      <c r="C1666" s="8" t="s">
        <v>368</v>
      </c>
      <c r="D1666" s="9" t="s">
        <v>5197</v>
      </c>
      <c r="E1666" s="10" t="str">
        <f>HYPERLINK("https://twitter.com/bitMomentum/status/1062450277536677889","1062450277536677889")</f>
        <v>1062450277536677889</v>
      </c>
      <c r="F1666" s="12"/>
      <c r="G1666" s="12"/>
      <c r="H1666" s="12"/>
      <c r="I1666" s="13">
        <v>0</v>
      </c>
      <c r="J1666" s="13">
        <v>0</v>
      </c>
      <c r="K1666" s="14" t="str">
        <f t="shared" si="481"/>
        <v>bitMomentum Bot</v>
      </c>
      <c r="L1666" s="13">
        <v>10132</v>
      </c>
      <c r="M1666" s="13">
        <v>1060</v>
      </c>
      <c r="N1666" s="13">
        <v>267</v>
      </c>
      <c r="O1666" s="15"/>
      <c r="P1666" s="6">
        <v>41608.667511574073</v>
      </c>
      <c r="Q1666" s="12"/>
      <c r="R1666" s="17" t="s">
        <v>371</v>
      </c>
      <c r="S1666" s="11" t="s">
        <v>372</v>
      </c>
      <c r="T1666" s="12"/>
      <c r="U1666" s="10" t="str">
        <f t="shared" si="482"/>
        <v>View</v>
      </c>
    </row>
    <row r="1667" spans="1:21" ht="51">
      <c r="A1667" s="6">
        <v>43417.916527777779</v>
      </c>
      <c r="B1667" s="7" t="str">
        <f>HYPERLINK("https://twitter.com/LeidiLey","@LeidiLey")</f>
        <v>@LeidiLey</v>
      </c>
      <c r="C1667" s="8" t="s">
        <v>5198</v>
      </c>
      <c r="D1667" s="9" t="s">
        <v>5199</v>
      </c>
      <c r="E1667" s="10" t="str">
        <f>HYPERLINK("https://twitter.com/LeidiLey/status/1062449977417523200","1062449977417523200")</f>
        <v>1062449977417523200</v>
      </c>
      <c r="F1667" s="12"/>
      <c r="G1667" s="12"/>
      <c r="H1667" s="12"/>
      <c r="I1667" s="13">
        <v>24</v>
      </c>
      <c r="J1667" s="13">
        <v>17</v>
      </c>
      <c r="K1667" s="14" t="str">
        <f t="shared" ref="K1667:K1668" si="483">HYPERLINK("http://twitter.com/download/android","Twitter for Android")</f>
        <v>Twitter for Android</v>
      </c>
      <c r="L1667" s="13">
        <v>77</v>
      </c>
      <c r="M1667" s="13">
        <v>234</v>
      </c>
      <c r="N1667" s="13">
        <v>0</v>
      </c>
      <c r="O1667" s="15"/>
      <c r="P1667" s="6">
        <v>43256.931701388894</v>
      </c>
      <c r="Q1667" s="16" t="s">
        <v>423</v>
      </c>
      <c r="R1667" s="17" t="s">
        <v>5200</v>
      </c>
      <c r="S1667" s="12"/>
      <c r="T1667" s="12"/>
      <c r="U1667" s="10" t="str">
        <f>HYPERLINK("https://pbs.twimg.com/profile_images/1012800834135093257/Yye6n7kJ.jpg","View")</f>
        <v>View</v>
      </c>
    </row>
    <row r="1668" spans="1:21" ht="40.799999999999997">
      <c r="A1668" s="6">
        <v>43417.914398148147</v>
      </c>
      <c r="B1668" s="7" t="str">
        <f>HYPERLINK("https://twitter.com/lunadebenidorm","@lunadebenidorm")</f>
        <v>@lunadebenidorm</v>
      </c>
      <c r="C1668" s="8" t="s">
        <v>106</v>
      </c>
      <c r="D1668" s="9" t="s">
        <v>5201</v>
      </c>
      <c r="E1668" s="10" t="str">
        <f>HYPERLINK("https://twitter.com/lunadebenidorm/status/1062449204310786051","1062449204310786051")</f>
        <v>1062449204310786051</v>
      </c>
      <c r="F1668" s="12"/>
      <c r="G1668" s="11" t="s">
        <v>5202</v>
      </c>
      <c r="H1668" s="12"/>
      <c r="I1668" s="13">
        <v>0</v>
      </c>
      <c r="J1668" s="13">
        <v>0</v>
      </c>
      <c r="K1668" s="14" t="str">
        <f t="shared" si="483"/>
        <v>Twitter for Android</v>
      </c>
      <c r="L1668" s="13">
        <v>3991</v>
      </c>
      <c r="M1668" s="13">
        <v>3978</v>
      </c>
      <c r="N1668" s="13">
        <v>79</v>
      </c>
      <c r="O1668" s="15"/>
      <c r="P1668" s="6">
        <v>41461.81186342593</v>
      </c>
      <c r="Q1668" s="12"/>
      <c r="R1668" s="17" t="s">
        <v>108</v>
      </c>
      <c r="S1668" s="12"/>
      <c r="T1668" s="12"/>
      <c r="U1668" s="10" t="str">
        <f>HYPERLINK("https://pbs.twimg.com/profile_images/1061229593758257153/rePCQt08.jpg","View")</f>
        <v>View</v>
      </c>
    </row>
    <row r="1669" spans="1:21" ht="61.2">
      <c r="A1669" s="6">
        <v>43417.910648148143</v>
      </c>
      <c r="B1669" s="7" t="str">
        <f>HYPERLINK("https://twitter.com/bea_flask","@bea_flask")</f>
        <v>@bea_flask</v>
      </c>
      <c r="C1669" s="8" t="s">
        <v>66</v>
      </c>
      <c r="D1669" s="9" t="s">
        <v>5203</v>
      </c>
      <c r="E1669" s="10" t="str">
        <f>HYPERLINK("https://twitter.com/bea_flask/status/1062447845691797504","1062447845691797504")</f>
        <v>1062447845691797504</v>
      </c>
      <c r="F1669" s="11" t="s">
        <v>5204</v>
      </c>
      <c r="G1669" s="11" t="s">
        <v>5205</v>
      </c>
      <c r="H1669" s="12"/>
      <c r="I1669" s="13">
        <v>0</v>
      </c>
      <c r="J1669" s="13">
        <v>0</v>
      </c>
      <c r="K1669" s="14" t="str">
        <f>HYPERLINK("http://twitter.com/download/iphone","Twitter for iPhone")</f>
        <v>Twitter for iPhone</v>
      </c>
      <c r="L1669" s="13">
        <v>175</v>
      </c>
      <c r="M1669" s="13">
        <v>295</v>
      </c>
      <c r="N1669" s="13">
        <v>2</v>
      </c>
      <c r="O1669" s="15"/>
      <c r="P1669" s="6">
        <v>41018.967199074075</v>
      </c>
      <c r="Q1669" s="16" t="s">
        <v>66</v>
      </c>
      <c r="R1669" s="17" t="s">
        <v>5206</v>
      </c>
      <c r="S1669" s="12"/>
      <c r="T1669" s="12"/>
      <c r="U1669" s="10" t="str">
        <f>HYPERLINK("https://pbs.twimg.com/profile_images/950785004338143235/q8pyDdzN.jpg","View")</f>
        <v>View</v>
      </c>
    </row>
    <row r="1670" spans="1:21" ht="20.399999999999999">
      <c r="A1670" s="6">
        <v>43417.909953703704</v>
      </c>
      <c r="B1670" s="7" t="str">
        <f>HYPERLINK("https://twitter.com/lunadebenidorm","@lunadebenidorm")</f>
        <v>@lunadebenidorm</v>
      </c>
      <c r="C1670" s="8" t="s">
        <v>106</v>
      </c>
      <c r="D1670" s="9" t="s">
        <v>5207</v>
      </c>
      <c r="E1670" s="10" t="str">
        <f>HYPERLINK("https://twitter.com/lunadebenidorm/status/1062447594142646273","1062447594142646273")</f>
        <v>1062447594142646273</v>
      </c>
      <c r="F1670" s="12"/>
      <c r="G1670" s="11" t="s">
        <v>5208</v>
      </c>
      <c r="H1670" s="12"/>
      <c r="I1670" s="13">
        <v>0</v>
      </c>
      <c r="J1670" s="13">
        <v>0</v>
      </c>
      <c r="K1670" s="14" t="str">
        <f t="shared" ref="K1670:K1671" si="484">HYPERLINK("http://twitter.com/download/android","Twitter for Android")</f>
        <v>Twitter for Android</v>
      </c>
      <c r="L1670" s="13">
        <v>3991</v>
      </c>
      <c r="M1670" s="13">
        <v>3978</v>
      </c>
      <c r="N1670" s="13">
        <v>79</v>
      </c>
      <c r="O1670" s="15"/>
      <c r="P1670" s="6">
        <v>41461.81186342593</v>
      </c>
      <c r="Q1670" s="12"/>
      <c r="R1670" s="17" t="s">
        <v>108</v>
      </c>
      <c r="S1670" s="12"/>
      <c r="T1670" s="12"/>
      <c r="U1670" s="10" t="str">
        <f>HYPERLINK("https://pbs.twimg.com/profile_images/1061229593758257153/rePCQt08.jpg","View")</f>
        <v>View</v>
      </c>
    </row>
    <row r="1671" spans="1:21" ht="51">
      <c r="A1671" s="6">
        <v>43417.905324074076</v>
      </c>
      <c r="B1671" s="7" t="str">
        <f>HYPERLINK("https://twitter.com/ElCalvoCule","@ElCalvoCule")</f>
        <v>@ElCalvoCule</v>
      </c>
      <c r="C1671" s="8" t="s">
        <v>5209</v>
      </c>
      <c r="D1671" s="9" t="s">
        <v>5210</v>
      </c>
      <c r="E1671" s="10" t="str">
        <f>HYPERLINK("https://twitter.com/ElCalvoCule/status/1062445917909999616","1062445917909999616")</f>
        <v>1062445917909999616</v>
      </c>
      <c r="F1671" s="12"/>
      <c r="G1671" s="12"/>
      <c r="H1671" s="12"/>
      <c r="I1671" s="13">
        <v>17</v>
      </c>
      <c r="J1671" s="13">
        <v>42</v>
      </c>
      <c r="K1671" s="14" t="str">
        <f t="shared" si="484"/>
        <v>Twitter for Android</v>
      </c>
      <c r="L1671" s="13">
        <v>700</v>
      </c>
      <c r="M1671" s="13">
        <v>259</v>
      </c>
      <c r="N1671" s="13">
        <v>10</v>
      </c>
      <c r="O1671" s="15"/>
      <c r="P1671" s="6">
        <v>43316.058981481481</v>
      </c>
      <c r="Q1671" s="12"/>
      <c r="R1671" s="17" t="s">
        <v>5211</v>
      </c>
      <c r="S1671" s="12"/>
      <c r="T1671" s="12"/>
      <c r="U1671" s="10" t="str">
        <f>HYPERLINK("https://pbs.twimg.com/profile_images/1025525083455012870/XMbWEV6Z.jpg","View")</f>
        <v>View</v>
      </c>
    </row>
    <row r="1672" spans="1:21" ht="30.6">
      <c r="A1672" s="6">
        <v>43417.903368055559</v>
      </c>
      <c r="B1672" s="7" t="str">
        <f>HYPERLINK("https://twitter.com/cabreratechicf","@cabreratechicf")</f>
        <v>@cabreratechicf</v>
      </c>
      <c r="C1672" s="8" t="s">
        <v>5567</v>
      </c>
      <c r="D1672" s="9" t="s">
        <v>5568</v>
      </c>
      <c r="E1672" s="10" t="str">
        <f>HYPERLINK("https://twitter.com/cabreratechicf/status/1062445208799977472","1062445208799977472")</f>
        <v>1062445208799977472</v>
      </c>
      <c r="F1672" s="11" t="s">
        <v>5569</v>
      </c>
      <c r="G1672" s="12"/>
      <c r="H1672" s="12"/>
      <c r="I1672" s="13">
        <v>0</v>
      </c>
      <c r="J1672" s="13">
        <v>0</v>
      </c>
      <c r="K1672" s="14" t="str">
        <f>HYPERLINK("https://curiouscat.me","Curious Cat")</f>
        <v>Curious Cat</v>
      </c>
      <c r="L1672" s="13">
        <v>140</v>
      </c>
      <c r="M1672" s="13">
        <v>54</v>
      </c>
      <c r="N1672" s="13">
        <v>0</v>
      </c>
      <c r="O1672" s="15"/>
      <c r="P1672" s="6">
        <v>43378.818495370375</v>
      </c>
      <c r="Q1672" s="16" t="s">
        <v>351</v>
      </c>
      <c r="R1672" s="17" t="s">
        <v>5570</v>
      </c>
      <c r="S1672" s="11" t="s">
        <v>5571</v>
      </c>
      <c r="T1672" s="12"/>
      <c r="U1672" s="10" t="str">
        <f>HYPERLINK("https://pbs.twimg.com/profile_images/1061666881201954816/BuUzhryz.jpg","View")</f>
        <v>View</v>
      </c>
    </row>
    <row r="1673" spans="1:21" ht="51">
      <c r="A1673" s="6">
        <v>43417.900590277779</v>
      </c>
      <c r="B1673" s="7" t="str">
        <f>HYPERLINK("https://twitter.com/pildorarojamgzn","@pildorarojamgzn")</f>
        <v>@pildorarojamgzn</v>
      </c>
      <c r="C1673" s="8" t="s">
        <v>5213</v>
      </c>
      <c r="D1673" s="9" t="s">
        <v>5214</v>
      </c>
      <c r="E1673" s="10" t="str">
        <f>HYPERLINK("https://twitter.com/pildorarojamgzn/status/1062444199365304324","1062444199365304324")</f>
        <v>1062444199365304324</v>
      </c>
      <c r="F1673" s="12"/>
      <c r="G1673" s="11" t="s">
        <v>5215</v>
      </c>
      <c r="H1673" s="12"/>
      <c r="I1673" s="13">
        <v>150</v>
      </c>
      <c r="J1673" s="13">
        <v>237</v>
      </c>
      <c r="K1673" s="14" t="str">
        <f>HYPERLINK("http://twitter.com","Twitter Web Client")</f>
        <v>Twitter Web Client</v>
      </c>
      <c r="L1673" s="13">
        <v>1780</v>
      </c>
      <c r="M1673" s="13">
        <v>224</v>
      </c>
      <c r="N1673" s="13">
        <v>12</v>
      </c>
      <c r="O1673" s="15"/>
      <c r="P1673" s="6">
        <v>43307.786238425921</v>
      </c>
      <c r="Q1673" s="12"/>
      <c r="R1673" s="17" t="s">
        <v>5218</v>
      </c>
      <c r="S1673" s="12"/>
      <c r="T1673" s="12"/>
      <c r="U1673" s="10" t="str">
        <f>HYPERLINK("https://pbs.twimg.com/profile_images/1055190891210698754/vqfSzbbj.jpg","View")</f>
        <v>View</v>
      </c>
    </row>
    <row r="1674" spans="1:21" ht="112.2">
      <c r="A1674" s="6">
        <v>43417.899386574078</v>
      </c>
      <c r="B1674" s="7" t="str">
        <f>HYPERLINK("https://twitter.com/memeses2","@memeses2")</f>
        <v>@memeses2</v>
      </c>
      <c r="C1674" s="8" t="s">
        <v>1091</v>
      </c>
      <c r="D1674" s="9" t="s">
        <v>5219</v>
      </c>
      <c r="E1674" s="10" t="str">
        <f>HYPERLINK("https://twitter.com/memeses2/status/1062443763925168130","1062443763925168130")</f>
        <v>1062443763925168130</v>
      </c>
      <c r="F1674" s="16" t="s">
        <v>4924</v>
      </c>
      <c r="G1674" s="12"/>
      <c r="H1674" s="12"/>
      <c r="I1674" s="13">
        <v>6</v>
      </c>
      <c r="J1674" s="13">
        <v>14</v>
      </c>
      <c r="K1674" s="14" t="str">
        <f t="shared" ref="K1674:K1681" si="485">HYPERLINK("http://twitter.com/download/android","Twitter for Android")</f>
        <v>Twitter for Android</v>
      </c>
      <c r="L1674" s="13">
        <v>682</v>
      </c>
      <c r="M1674" s="13">
        <v>515</v>
      </c>
      <c r="N1674" s="13">
        <v>1</v>
      </c>
      <c r="O1674" s="15"/>
      <c r="P1674" s="6">
        <v>43413.516655092593</v>
      </c>
      <c r="Q1674" s="16" t="s">
        <v>66</v>
      </c>
      <c r="R1674" s="17" t="s">
        <v>1094</v>
      </c>
      <c r="S1674" s="12"/>
      <c r="T1674" s="12"/>
      <c r="U1674" s="10" t="str">
        <f>HYPERLINK("https://pbs.twimg.com/profile_images/1060857415640539136/cZbEgTAv.jpg","View")</f>
        <v>View</v>
      </c>
    </row>
    <row r="1675" spans="1:21" ht="40.799999999999997">
      <c r="A1675" s="6">
        <v>43417.89743055556</v>
      </c>
      <c r="B1675" s="7" t="str">
        <f>HYPERLINK("https://twitter.com/_juancar7","@_juancar7")</f>
        <v>@_juancar7</v>
      </c>
      <c r="C1675" s="8" t="s">
        <v>389</v>
      </c>
      <c r="D1675" s="9" t="s">
        <v>5224</v>
      </c>
      <c r="E1675" s="10" t="str">
        <f>HYPERLINK("https://twitter.com/_juancar7/status/1062443055410790401","1062443055410790401")</f>
        <v>1062443055410790401</v>
      </c>
      <c r="F1675" s="12"/>
      <c r="G1675" s="11" t="s">
        <v>5225</v>
      </c>
      <c r="H1675" s="12"/>
      <c r="I1675" s="13">
        <v>0</v>
      </c>
      <c r="J1675" s="13">
        <v>1</v>
      </c>
      <c r="K1675" s="14" t="str">
        <f t="shared" si="485"/>
        <v>Twitter for Android</v>
      </c>
      <c r="L1675" s="13">
        <v>292</v>
      </c>
      <c r="M1675" s="13">
        <v>464</v>
      </c>
      <c r="N1675" s="13">
        <v>5</v>
      </c>
      <c r="O1675" s="15"/>
      <c r="P1675" s="6">
        <v>42228.482303240744</v>
      </c>
      <c r="Q1675" s="16" t="s">
        <v>392</v>
      </c>
      <c r="R1675" s="17" t="s">
        <v>393</v>
      </c>
      <c r="S1675" s="11" t="s">
        <v>394</v>
      </c>
      <c r="T1675" s="12"/>
      <c r="U1675" s="10" t="str">
        <f>HYPERLINK("https://pbs.twimg.com/profile_images/1065025407110578177/aYrjSIxs.jpg","View")</f>
        <v>View</v>
      </c>
    </row>
    <row r="1676" spans="1:21" ht="61.2">
      <c r="A1676" s="6">
        <v>43417.894814814819</v>
      </c>
      <c r="B1676" s="7" t="str">
        <f>HYPERLINK("https://twitter.com/lunadebenidorm","@lunadebenidorm")</f>
        <v>@lunadebenidorm</v>
      </c>
      <c r="C1676" s="8" t="s">
        <v>106</v>
      </c>
      <c r="D1676" s="9" t="s">
        <v>5226</v>
      </c>
      <c r="E1676" s="10" t="str">
        <f>HYPERLINK("https://twitter.com/lunadebenidorm/status/1062442108378845184","1062442108378845184")</f>
        <v>1062442108378845184</v>
      </c>
      <c r="F1676" s="12"/>
      <c r="G1676" s="11" t="s">
        <v>5227</v>
      </c>
      <c r="H1676" s="12"/>
      <c r="I1676" s="13">
        <v>0</v>
      </c>
      <c r="J1676" s="13">
        <v>0</v>
      </c>
      <c r="K1676" s="14" t="str">
        <f t="shared" si="485"/>
        <v>Twitter for Android</v>
      </c>
      <c r="L1676" s="13">
        <v>3991</v>
      </c>
      <c r="M1676" s="13">
        <v>3978</v>
      </c>
      <c r="N1676" s="13">
        <v>79</v>
      </c>
      <c r="O1676" s="15"/>
      <c r="P1676" s="6">
        <v>41461.81186342593</v>
      </c>
      <c r="Q1676" s="12"/>
      <c r="R1676" s="17" t="s">
        <v>108</v>
      </c>
      <c r="S1676" s="12"/>
      <c r="T1676" s="12"/>
      <c r="U1676" s="10" t="str">
        <f>HYPERLINK("https://pbs.twimg.com/profile_images/1061229593758257153/rePCQt08.jpg","View")</f>
        <v>View</v>
      </c>
    </row>
    <row r="1677" spans="1:21" ht="71.400000000000006">
      <c r="A1677" s="6">
        <v>43417.893287037034</v>
      </c>
      <c r="B1677" s="7" t="str">
        <f>HYPERLINK("https://twitter.com/Santi_ABASCAL","@Santi_ABASCAL")</f>
        <v>@Santi_ABASCAL</v>
      </c>
      <c r="C1677" s="8" t="s">
        <v>182</v>
      </c>
      <c r="D1677" s="9" t="s">
        <v>5572</v>
      </c>
      <c r="E1677" s="10" t="str">
        <f>HYPERLINK("https://twitter.com/Santi_ABASCAL/status/1062441553346682886","1062441553346682886")</f>
        <v>1062441553346682886</v>
      </c>
      <c r="F1677" s="16" t="s">
        <v>5573</v>
      </c>
      <c r="G1677" s="12"/>
      <c r="H1677" s="12"/>
      <c r="I1677" s="13">
        <v>3264</v>
      </c>
      <c r="J1677" s="13">
        <v>5345</v>
      </c>
      <c r="K1677" s="14" t="str">
        <f t="shared" si="485"/>
        <v>Twitter for Android</v>
      </c>
      <c r="L1677" s="13">
        <v>117602</v>
      </c>
      <c r="M1677" s="13">
        <v>3896</v>
      </c>
      <c r="N1677" s="13">
        <v>915</v>
      </c>
      <c r="O1677" s="23" t="s">
        <v>186</v>
      </c>
      <c r="P1677" s="6">
        <v>40606.716446759259</v>
      </c>
      <c r="Q1677" s="16" t="s">
        <v>188</v>
      </c>
      <c r="R1677" s="17" t="s">
        <v>189</v>
      </c>
      <c r="S1677" s="11" t="s">
        <v>190</v>
      </c>
      <c r="T1677" s="12"/>
      <c r="U1677" s="10" t="str">
        <f>HYPERLINK("https://pbs.twimg.com/profile_images/1010488787686879232/2CnqYKlD.jpg","View")</f>
        <v>View</v>
      </c>
    </row>
    <row r="1678" spans="1:21" ht="51">
      <c r="A1678" s="6">
        <v>43417.892094907409</v>
      </c>
      <c r="B1678" s="7" t="str">
        <f>HYPERLINK("https://twitter.com/lunadebenidorm","@lunadebenidorm")</f>
        <v>@lunadebenidorm</v>
      </c>
      <c r="C1678" s="8" t="s">
        <v>106</v>
      </c>
      <c r="D1678" s="9" t="s">
        <v>5228</v>
      </c>
      <c r="E1678" s="10" t="str">
        <f>HYPERLINK("https://twitter.com/lunadebenidorm/status/1062441123044622336","1062441123044622336")</f>
        <v>1062441123044622336</v>
      </c>
      <c r="F1678" s="12"/>
      <c r="G1678" s="11" t="s">
        <v>5229</v>
      </c>
      <c r="H1678" s="12"/>
      <c r="I1678" s="13">
        <v>1</v>
      </c>
      <c r="J1678" s="13">
        <v>1</v>
      </c>
      <c r="K1678" s="14" t="str">
        <f t="shared" si="485"/>
        <v>Twitter for Android</v>
      </c>
      <c r="L1678" s="13">
        <v>3991</v>
      </c>
      <c r="M1678" s="13">
        <v>3978</v>
      </c>
      <c r="N1678" s="13">
        <v>79</v>
      </c>
      <c r="O1678" s="15"/>
      <c r="P1678" s="6">
        <v>41461.81186342593</v>
      </c>
      <c r="Q1678" s="12"/>
      <c r="R1678" s="17" t="s">
        <v>108</v>
      </c>
      <c r="S1678" s="12"/>
      <c r="T1678" s="12"/>
      <c r="U1678" s="10" t="str">
        <f>HYPERLINK("https://pbs.twimg.com/profile_images/1061229593758257153/rePCQt08.jpg","View")</f>
        <v>View</v>
      </c>
    </row>
    <row r="1679" spans="1:21" ht="40.799999999999997">
      <c r="A1679" s="6">
        <v>43417.890486111108</v>
      </c>
      <c r="B1679" s="7" t="str">
        <f>HYPERLINK("https://twitter.com/jmdhfoto","@jmdhfoto")</f>
        <v>@jmdhfoto</v>
      </c>
      <c r="C1679" s="8" t="s">
        <v>5230</v>
      </c>
      <c r="D1679" s="9" t="s">
        <v>5231</v>
      </c>
      <c r="E1679" s="10" t="str">
        <f>HYPERLINK("https://twitter.com/jmdhfoto/status/1062440538476032001","1062440538476032001")</f>
        <v>1062440538476032001</v>
      </c>
      <c r="F1679" s="12"/>
      <c r="G1679" s="12"/>
      <c r="H1679" s="12"/>
      <c r="I1679" s="13">
        <v>1</v>
      </c>
      <c r="J1679" s="13">
        <v>0</v>
      </c>
      <c r="K1679" s="14" t="str">
        <f t="shared" si="485"/>
        <v>Twitter for Android</v>
      </c>
      <c r="L1679" s="13">
        <v>768</v>
      </c>
      <c r="M1679" s="13">
        <v>2011</v>
      </c>
      <c r="N1679" s="13">
        <v>4</v>
      </c>
      <c r="O1679" s="15"/>
      <c r="P1679" s="6">
        <v>41250.822210648148</v>
      </c>
      <c r="Q1679" s="16" t="s">
        <v>5232</v>
      </c>
      <c r="R1679" s="17" t="s">
        <v>5233</v>
      </c>
      <c r="S1679" s="12"/>
      <c r="T1679" s="12"/>
      <c r="U1679" s="10" t="str">
        <f>HYPERLINK("https://pbs.twimg.com/profile_images/978171578105122816/fAIYo57R.jpg","View")</f>
        <v>View</v>
      </c>
    </row>
    <row r="1680" spans="1:21" ht="13.2">
      <c r="A1680" s="6">
        <v>43417.878425925926</v>
      </c>
      <c r="B1680" s="7" t="str">
        <f>HYPERLINK("https://twitter.com/zadava9","@zadava9")</f>
        <v>@zadava9</v>
      </c>
      <c r="C1680" s="8" t="s">
        <v>5234</v>
      </c>
      <c r="D1680" s="9" t="s">
        <v>5235</v>
      </c>
      <c r="E1680" s="10" t="str">
        <f>HYPERLINK("https://twitter.com/zadava9/status/1062436167117881350","1062436167117881350")</f>
        <v>1062436167117881350</v>
      </c>
      <c r="F1680" s="11" t="s">
        <v>1209</v>
      </c>
      <c r="G1680" s="12"/>
      <c r="H1680" s="12"/>
      <c r="I1680" s="13">
        <v>0</v>
      </c>
      <c r="J1680" s="13">
        <v>0</v>
      </c>
      <c r="K1680" s="14" t="str">
        <f t="shared" si="485"/>
        <v>Twitter for Android</v>
      </c>
      <c r="L1680" s="13">
        <v>583</v>
      </c>
      <c r="M1680" s="13">
        <v>476</v>
      </c>
      <c r="N1680" s="13">
        <v>11</v>
      </c>
      <c r="O1680" s="15"/>
      <c r="P1680" s="6">
        <v>41358.68246527778</v>
      </c>
      <c r="Q1680" s="12"/>
      <c r="R1680" s="17" t="s">
        <v>5236</v>
      </c>
      <c r="S1680" s="12"/>
      <c r="T1680" s="12"/>
      <c r="U1680" s="10" t="str">
        <f>HYPERLINK("https://pbs.twimg.com/profile_images/757350626917515264/L6W5OxyU.jpg","View")</f>
        <v>View</v>
      </c>
    </row>
    <row r="1681" spans="1:21" ht="51">
      <c r="A1681" s="6">
        <v>43417.878379629634</v>
      </c>
      <c r="B1681" s="7" t="str">
        <f>HYPERLINK("https://twitter.com/juanisoccer","@juanisoccer")</f>
        <v>@juanisoccer</v>
      </c>
      <c r="C1681" s="8" t="s">
        <v>5237</v>
      </c>
      <c r="D1681" s="9" t="s">
        <v>5238</v>
      </c>
      <c r="E1681" s="10" t="str">
        <f>HYPERLINK("https://twitter.com/juanisoccer/status/1062436151926112257","1062436151926112257")</f>
        <v>1062436151926112257</v>
      </c>
      <c r="F1681" s="12"/>
      <c r="G1681" s="12"/>
      <c r="H1681" s="12"/>
      <c r="I1681" s="13">
        <v>0</v>
      </c>
      <c r="J1681" s="13">
        <v>0</v>
      </c>
      <c r="K1681" s="14" t="str">
        <f t="shared" si="485"/>
        <v>Twitter for Android</v>
      </c>
      <c r="L1681" s="13">
        <v>250</v>
      </c>
      <c r="M1681" s="13">
        <v>84</v>
      </c>
      <c r="N1681" s="13">
        <v>3</v>
      </c>
      <c r="O1681" s="15"/>
      <c r="P1681" s="6">
        <v>40571.541493055556</v>
      </c>
      <c r="Q1681" s="16" t="s">
        <v>5239</v>
      </c>
      <c r="R1681" s="17" t="s">
        <v>5240</v>
      </c>
      <c r="S1681" s="12"/>
      <c r="T1681" s="12"/>
      <c r="U1681" s="10" t="str">
        <f>HYPERLINK("https://pbs.twimg.com/profile_images/1063753346857738240/EWweYWDu.jpg","View")</f>
        <v>View</v>
      </c>
    </row>
    <row r="1682" spans="1:21" ht="51">
      <c r="A1682" s="6">
        <v>43417.876388888893</v>
      </c>
      <c r="B1682" s="7" t="str">
        <f>HYPERLINK("https://twitter.com/bitMomentum","@bitMomentum")</f>
        <v>@bitMomentum</v>
      </c>
      <c r="C1682" s="8" t="s">
        <v>368</v>
      </c>
      <c r="D1682" s="9" t="s">
        <v>5241</v>
      </c>
      <c r="E1682" s="10" t="str">
        <f>HYPERLINK("https://twitter.com/bitMomentum/status/1062435429616623617","1062435429616623617")</f>
        <v>1062435429616623617</v>
      </c>
      <c r="F1682" s="12"/>
      <c r="G1682" s="12"/>
      <c r="H1682" s="12"/>
      <c r="I1682" s="13">
        <v>0</v>
      </c>
      <c r="J1682" s="13">
        <v>0</v>
      </c>
      <c r="K1682" s="14" t="str">
        <f>HYPERLINK("http://www.bitmomentum.com","bitMomentum Bot")</f>
        <v>bitMomentum Bot</v>
      </c>
      <c r="L1682" s="13">
        <v>10132</v>
      </c>
      <c r="M1682" s="13">
        <v>1060</v>
      </c>
      <c r="N1682" s="13">
        <v>267</v>
      </c>
      <c r="O1682" s="15"/>
      <c r="P1682" s="6">
        <v>41608.667511574073</v>
      </c>
      <c r="Q1682" s="12"/>
      <c r="R1682" s="17" t="s">
        <v>371</v>
      </c>
      <c r="S1682" s="11" t="s">
        <v>372</v>
      </c>
      <c r="T1682" s="12"/>
      <c r="U1682" s="10" t="str">
        <f>HYPERLINK("https://pbs.twimg.com/profile_images/378800000862185241/20ij2H3u.png","View")</f>
        <v>View</v>
      </c>
    </row>
    <row r="1683" spans="1:21" ht="71.400000000000006">
      <c r="A1683" s="6">
        <v>43417.875960648147</v>
      </c>
      <c r="B1683" s="7" t="str">
        <f>HYPERLINK("https://twitter.com/lunadebenidorm","@lunadebenidorm")</f>
        <v>@lunadebenidorm</v>
      </c>
      <c r="C1683" s="8" t="s">
        <v>106</v>
      </c>
      <c r="D1683" s="9" t="s">
        <v>5242</v>
      </c>
      <c r="E1683" s="10" t="str">
        <f>HYPERLINK("https://twitter.com/lunadebenidorm/status/1062435275064918016","1062435275064918016")</f>
        <v>1062435275064918016</v>
      </c>
      <c r="F1683" s="16" t="s">
        <v>5243</v>
      </c>
      <c r="G1683" s="12"/>
      <c r="H1683" s="12"/>
      <c r="I1683" s="13">
        <v>1</v>
      </c>
      <c r="J1683" s="13">
        <v>1</v>
      </c>
      <c r="K1683" s="14" t="str">
        <f>HYPERLINK("http://twitter.com/download/android","Twitter for Android")</f>
        <v>Twitter for Android</v>
      </c>
      <c r="L1683" s="13">
        <v>3991</v>
      </c>
      <c r="M1683" s="13">
        <v>3978</v>
      </c>
      <c r="N1683" s="13">
        <v>79</v>
      </c>
      <c r="O1683" s="15"/>
      <c r="P1683" s="6">
        <v>41461.81186342593</v>
      </c>
      <c r="Q1683" s="12"/>
      <c r="R1683" s="17" t="s">
        <v>108</v>
      </c>
      <c r="S1683" s="12"/>
      <c r="T1683" s="12"/>
      <c r="U1683" s="10" t="str">
        <f>HYPERLINK("https://pbs.twimg.com/profile_images/1061229593758257153/rePCQt08.jpg","View")</f>
        <v>View</v>
      </c>
    </row>
    <row r="1684" spans="1:21" ht="51">
      <c r="A1684" s="6">
        <v>43417.875694444447</v>
      </c>
      <c r="B1684" s="7" t="str">
        <f>HYPERLINK("https://twitter.com/bitMomentum","@bitMomentum")</f>
        <v>@bitMomentum</v>
      </c>
      <c r="C1684" s="8" t="s">
        <v>368</v>
      </c>
      <c r="D1684" s="9" t="s">
        <v>5244</v>
      </c>
      <c r="E1684" s="10" t="str">
        <f>HYPERLINK("https://twitter.com/bitMomentum/status/1062435177958465536","1062435177958465536")</f>
        <v>1062435177958465536</v>
      </c>
      <c r="F1684" s="12"/>
      <c r="G1684" s="12"/>
      <c r="H1684" s="12"/>
      <c r="I1684" s="13">
        <v>0</v>
      </c>
      <c r="J1684" s="13">
        <v>0</v>
      </c>
      <c r="K1684" s="14" t="str">
        <f>HYPERLINK("http://www.bitmomentum.com","bitMomentum Bot")</f>
        <v>bitMomentum Bot</v>
      </c>
      <c r="L1684" s="13">
        <v>10132</v>
      </c>
      <c r="M1684" s="13">
        <v>1060</v>
      </c>
      <c r="N1684" s="13">
        <v>267</v>
      </c>
      <c r="O1684" s="15"/>
      <c r="P1684" s="6">
        <v>41608.667511574073</v>
      </c>
      <c r="Q1684" s="12"/>
      <c r="R1684" s="17" t="s">
        <v>371</v>
      </c>
      <c r="S1684" s="11" t="s">
        <v>372</v>
      </c>
      <c r="T1684" s="12"/>
      <c r="U1684" s="10" t="str">
        <f>HYPERLINK("https://pbs.twimg.com/profile_images/378800000862185241/20ij2H3u.png","View")</f>
        <v>View</v>
      </c>
    </row>
    <row r="1685" spans="1:21" ht="30.6">
      <c r="A1685" s="6">
        <v>43417.872314814813</v>
      </c>
      <c r="B1685" s="7" t="str">
        <f>HYPERLINK("https://twitter.com/lunadebenidorm","@lunadebenidorm")</f>
        <v>@lunadebenidorm</v>
      </c>
      <c r="C1685" s="8" t="s">
        <v>106</v>
      </c>
      <c r="D1685" s="9" t="s">
        <v>5245</v>
      </c>
      <c r="E1685" s="10" t="str">
        <f>HYPERLINK("https://twitter.com/lunadebenidorm/status/1062433953846648833","1062433953846648833")</f>
        <v>1062433953846648833</v>
      </c>
      <c r="F1685" s="12"/>
      <c r="G1685" s="11" t="s">
        <v>5246</v>
      </c>
      <c r="H1685" s="12"/>
      <c r="I1685" s="13">
        <v>0</v>
      </c>
      <c r="J1685" s="13">
        <v>0</v>
      </c>
      <c r="K1685" s="14" t="str">
        <f t="shared" ref="K1685:K1691" si="486">HYPERLINK("http://twitter.com/download/android","Twitter for Android")</f>
        <v>Twitter for Android</v>
      </c>
      <c r="L1685" s="13">
        <v>3991</v>
      </c>
      <c r="M1685" s="13">
        <v>3978</v>
      </c>
      <c r="N1685" s="13">
        <v>79</v>
      </c>
      <c r="O1685" s="15"/>
      <c r="P1685" s="6">
        <v>41461.81186342593</v>
      </c>
      <c r="Q1685" s="12"/>
      <c r="R1685" s="17" t="s">
        <v>108</v>
      </c>
      <c r="S1685" s="12"/>
      <c r="T1685" s="12"/>
      <c r="U1685" s="10" t="str">
        <f>HYPERLINK("https://pbs.twimg.com/profile_images/1061229593758257153/rePCQt08.jpg","View")</f>
        <v>View</v>
      </c>
    </row>
    <row r="1686" spans="1:21" ht="102">
      <c r="A1686" s="6">
        <v>43417.871145833335</v>
      </c>
      <c r="B1686" s="7" t="str">
        <f>HYPERLINK("https://twitter.com/Santi_ABASCAL","@Santi_ABASCAL")</f>
        <v>@Santi_ABASCAL</v>
      </c>
      <c r="C1686" s="8" t="s">
        <v>182</v>
      </c>
      <c r="D1686" s="9" t="s">
        <v>5574</v>
      </c>
      <c r="E1686" s="10" t="str">
        <f>HYPERLINK("https://twitter.com/Santi_ABASCAL/status/1062433530674855936","1062433530674855936")</f>
        <v>1062433530674855936</v>
      </c>
      <c r="F1686" s="16" t="s">
        <v>5575</v>
      </c>
      <c r="G1686" s="12"/>
      <c r="H1686" s="12"/>
      <c r="I1686" s="13">
        <v>1369</v>
      </c>
      <c r="J1686" s="13">
        <v>2204</v>
      </c>
      <c r="K1686" s="14" t="str">
        <f t="shared" si="486"/>
        <v>Twitter for Android</v>
      </c>
      <c r="L1686" s="13">
        <v>117602</v>
      </c>
      <c r="M1686" s="13">
        <v>3896</v>
      </c>
      <c r="N1686" s="13">
        <v>915</v>
      </c>
      <c r="O1686" s="23" t="s">
        <v>186</v>
      </c>
      <c r="P1686" s="6">
        <v>40606.716446759259</v>
      </c>
      <c r="Q1686" s="16" t="s">
        <v>188</v>
      </c>
      <c r="R1686" s="17" t="s">
        <v>189</v>
      </c>
      <c r="S1686" s="11" t="s">
        <v>190</v>
      </c>
      <c r="T1686" s="12"/>
      <c r="U1686" s="10" t="str">
        <f>HYPERLINK("https://pbs.twimg.com/profile_images/1010488787686879232/2CnqYKlD.jpg","View")</f>
        <v>View</v>
      </c>
    </row>
    <row r="1687" spans="1:21" ht="40.799999999999997">
      <c r="A1687" s="6">
        <v>43417.870428240742</v>
      </c>
      <c r="B1687" s="7" t="str">
        <f>HYPERLINK("https://twitter.com/lunadebenidorm","@lunadebenidorm")</f>
        <v>@lunadebenidorm</v>
      </c>
      <c r="C1687" s="8" t="s">
        <v>106</v>
      </c>
      <c r="D1687" s="9" t="s">
        <v>5247</v>
      </c>
      <c r="E1687" s="10" t="str">
        <f>HYPERLINK("https://twitter.com/lunadebenidorm/status/1062433268891611136","1062433268891611136")</f>
        <v>1062433268891611136</v>
      </c>
      <c r="F1687" s="11" t="s">
        <v>5248</v>
      </c>
      <c r="G1687" s="11" t="s">
        <v>5249</v>
      </c>
      <c r="H1687" s="12"/>
      <c r="I1687" s="13">
        <v>0</v>
      </c>
      <c r="J1687" s="13">
        <v>1</v>
      </c>
      <c r="K1687" s="14" t="str">
        <f t="shared" si="486"/>
        <v>Twitter for Android</v>
      </c>
      <c r="L1687" s="13">
        <v>3991</v>
      </c>
      <c r="M1687" s="13">
        <v>3978</v>
      </c>
      <c r="N1687" s="13">
        <v>79</v>
      </c>
      <c r="O1687" s="15"/>
      <c r="P1687" s="6">
        <v>41461.81186342593</v>
      </c>
      <c r="Q1687" s="12"/>
      <c r="R1687" s="17" t="s">
        <v>108</v>
      </c>
      <c r="S1687" s="12"/>
      <c r="T1687" s="12"/>
      <c r="U1687" s="10" t="str">
        <f>HYPERLINK("https://pbs.twimg.com/profile_images/1061229593758257153/rePCQt08.jpg","View")</f>
        <v>View</v>
      </c>
    </row>
    <row r="1688" spans="1:21" ht="40.799999999999997">
      <c r="A1688" s="6">
        <v>43417.865439814814</v>
      </c>
      <c r="B1688" s="7" t="str">
        <f>HYPERLINK("https://twitter.com/JGarrigaDomenec","@JGarrigaDomenec")</f>
        <v>@JGarrigaDomenec</v>
      </c>
      <c r="C1688" s="8" t="s">
        <v>5252</v>
      </c>
      <c r="D1688" s="9" t="s">
        <v>5253</v>
      </c>
      <c r="E1688" s="10" t="str">
        <f>HYPERLINK("https://twitter.com/JGarrigaDomenec/status/1062431461394075650","1062431461394075650")</f>
        <v>1062431461394075650</v>
      </c>
      <c r="F1688" s="12"/>
      <c r="G1688" s="11" t="s">
        <v>5255</v>
      </c>
      <c r="H1688" s="12"/>
      <c r="I1688" s="13">
        <v>0</v>
      </c>
      <c r="J1688" s="13">
        <v>3</v>
      </c>
      <c r="K1688" s="14" t="str">
        <f t="shared" si="486"/>
        <v>Twitter for Android</v>
      </c>
      <c r="L1688" s="13">
        <v>915</v>
      </c>
      <c r="M1688" s="13">
        <v>952</v>
      </c>
      <c r="N1688" s="13">
        <v>17</v>
      </c>
      <c r="O1688" s="15"/>
      <c r="P1688" s="6">
        <v>40921.862800925926</v>
      </c>
      <c r="Q1688" s="16" t="s">
        <v>5257</v>
      </c>
      <c r="R1688" s="17" t="s">
        <v>5258</v>
      </c>
      <c r="S1688" s="12"/>
      <c r="T1688" s="12"/>
      <c r="U1688" s="10" t="str">
        <f>HYPERLINK("https://pbs.twimg.com/profile_images/825801190277517313/k2iRCgED.jpg","View")</f>
        <v>View</v>
      </c>
    </row>
    <row r="1689" spans="1:21" ht="122.4">
      <c r="A1689" s="6">
        <v>43417.863518518519</v>
      </c>
      <c r="B1689" s="7" t="str">
        <f>HYPERLINK("https://twitter.com/hispanototal","@hispanototal")</f>
        <v>@hispanototal</v>
      </c>
      <c r="C1689" s="8" t="s">
        <v>4672</v>
      </c>
      <c r="D1689" s="9" t="s">
        <v>5576</v>
      </c>
      <c r="E1689" s="10" t="str">
        <f>HYPERLINK("https://twitter.com/hispanototal/status/1062430766926303232","1062430766926303232")</f>
        <v>1062430766926303232</v>
      </c>
      <c r="F1689" s="16" t="s">
        <v>5363</v>
      </c>
      <c r="G1689" s="12"/>
      <c r="H1689" s="12"/>
      <c r="I1689" s="13">
        <v>0</v>
      </c>
      <c r="J1689" s="13">
        <v>0</v>
      </c>
      <c r="K1689" s="14" t="str">
        <f t="shared" si="486"/>
        <v>Twitter for Android</v>
      </c>
      <c r="L1689" s="13">
        <v>1264</v>
      </c>
      <c r="M1689" s="13">
        <v>1895</v>
      </c>
      <c r="N1689" s="13">
        <v>3</v>
      </c>
      <c r="O1689" s="15"/>
      <c r="P1689" s="6">
        <v>43322.466273148151</v>
      </c>
      <c r="Q1689" s="16" t="s">
        <v>4677</v>
      </c>
      <c r="R1689" s="17" t="s">
        <v>4678</v>
      </c>
      <c r="S1689" s="11" t="s">
        <v>4679</v>
      </c>
      <c r="T1689" s="12"/>
      <c r="U1689" s="10" t="str">
        <f>HYPERLINK("https://pbs.twimg.com/profile_images/1064955664240390145/lEg18-XL.jpg","View")</f>
        <v>View</v>
      </c>
    </row>
    <row r="1690" spans="1:21" ht="51">
      <c r="A1690" s="6">
        <v>43417.862256944441</v>
      </c>
      <c r="B1690" s="7" t="str">
        <f>HYPERLINK("https://twitter.com/KaradeKona","@KaradeKona")</f>
        <v>@KaradeKona</v>
      </c>
      <c r="C1690" s="8" t="s">
        <v>5261</v>
      </c>
      <c r="D1690" s="9" t="s">
        <v>5262</v>
      </c>
      <c r="E1690" s="10" t="str">
        <f>HYPERLINK("https://twitter.com/KaradeKona/status/1062430309197725697","1062430309197725697")</f>
        <v>1062430309197725697</v>
      </c>
      <c r="F1690" s="11" t="s">
        <v>5263</v>
      </c>
      <c r="G1690" s="12"/>
      <c r="H1690" s="12"/>
      <c r="I1690" s="13">
        <v>0</v>
      </c>
      <c r="J1690" s="13">
        <v>0</v>
      </c>
      <c r="K1690" s="14" t="str">
        <f t="shared" si="486"/>
        <v>Twitter for Android</v>
      </c>
      <c r="L1690" s="13">
        <v>464</v>
      </c>
      <c r="M1690" s="13">
        <v>563</v>
      </c>
      <c r="N1690" s="13">
        <v>1</v>
      </c>
      <c r="O1690" s="15"/>
      <c r="P1690" s="6">
        <v>40513.38422453704</v>
      </c>
      <c r="Q1690" s="16" t="s">
        <v>5264</v>
      </c>
      <c r="R1690" s="17" t="s">
        <v>5265</v>
      </c>
      <c r="S1690" s="12"/>
      <c r="T1690" s="12"/>
      <c r="U1690" s="10" t="str">
        <f>HYPERLINK("https://pbs.twimg.com/profile_images/924000563242717184/FcdaprTP.jpg","View")</f>
        <v>View</v>
      </c>
    </row>
    <row r="1691" spans="1:21" ht="40.799999999999997">
      <c r="A1691" s="6">
        <v>43417.860393518524</v>
      </c>
      <c r="B1691" s="7" t="str">
        <f>HYPERLINK("https://twitter.com/SergioM59701729","@SergioM59701729")</f>
        <v>@SergioM59701729</v>
      </c>
      <c r="C1691" s="8" t="s">
        <v>4343</v>
      </c>
      <c r="D1691" s="9" t="s">
        <v>5266</v>
      </c>
      <c r="E1691" s="10" t="str">
        <f>HYPERLINK("https://twitter.com/SergioM59701729/status/1062429633185017856","1062429633185017856")</f>
        <v>1062429633185017856</v>
      </c>
      <c r="F1691" s="11" t="s">
        <v>5159</v>
      </c>
      <c r="G1691" s="12"/>
      <c r="H1691" s="12"/>
      <c r="I1691" s="13">
        <v>0</v>
      </c>
      <c r="J1691" s="13">
        <v>0</v>
      </c>
      <c r="K1691" s="14" t="str">
        <f t="shared" si="486"/>
        <v>Twitter for Android</v>
      </c>
      <c r="L1691" s="13">
        <v>226</v>
      </c>
      <c r="M1691" s="13">
        <v>495</v>
      </c>
      <c r="N1691" s="13">
        <v>1</v>
      </c>
      <c r="O1691" s="15"/>
      <c r="P1691" s="6">
        <v>43316.847222222219</v>
      </c>
      <c r="Q1691" s="16" t="s">
        <v>275</v>
      </c>
      <c r="R1691" s="17" t="s">
        <v>4345</v>
      </c>
      <c r="S1691" s="12"/>
      <c r="T1691" s="12"/>
      <c r="U1691" s="10" t="str">
        <f>HYPERLINK("https://pbs.twimg.com/profile_images/1062420437890723842/5UtXQcuk.jpg","View")</f>
        <v>View</v>
      </c>
    </row>
    <row r="1692" spans="1:21" ht="51">
      <c r="A1692" s="6">
        <v>43417.86010416667</v>
      </c>
      <c r="B1692" s="7" t="str">
        <f>HYPERLINK("https://twitter.com/molto_garcia","@molto_garcia")</f>
        <v>@molto_garcia</v>
      </c>
      <c r="C1692" s="8" t="s">
        <v>5267</v>
      </c>
      <c r="D1692" s="9" t="s">
        <v>5268</v>
      </c>
      <c r="E1692" s="10" t="str">
        <f>HYPERLINK("https://twitter.com/molto_garcia/status/1062429531523481605","1062429531523481605")</f>
        <v>1062429531523481605</v>
      </c>
      <c r="F1692" s="11" t="s">
        <v>5269</v>
      </c>
      <c r="G1692" s="11" t="s">
        <v>5270</v>
      </c>
      <c r="H1692" s="12"/>
      <c r="I1692" s="13">
        <v>9</v>
      </c>
      <c r="J1692" s="13">
        <v>11</v>
      </c>
      <c r="K1692" s="14" t="str">
        <f>HYPERLINK("http://twitter.com","Twitter Web Client")</f>
        <v>Twitter Web Client</v>
      </c>
      <c r="L1692" s="13">
        <v>234</v>
      </c>
      <c r="M1692" s="13">
        <v>50</v>
      </c>
      <c r="N1692" s="13">
        <v>0</v>
      </c>
      <c r="O1692" s="15"/>
      <c r="P1692" s="6">
        <v>43399.707418981481</v>
      </c>
      <c r="Q1692" s="12"/>
      <c r="R1692" s="17" t="s">
        <v>5273</v>
      </c>
      <c r="S1692" s="12"/>
      <c r="T1692" s="12"/>
      <c r="U1692" s="10" t="str">
        <f>HYPERLINK("https://pbs.twimg.com/profile_images/1055837630456315904/XrAx5_u1.jpg","View")</f>
        <v>View</v>
      </c>
    </row>
    <row r="1693" spans="1:21" ht="51">
      <c r="A1693" s="6">
        <v>43417.857303240744</v>
      </c>
      <c r="B1693" s="7" t="str">
        <f>HYPERLINK("https://twitter.com/revol_es","@revol_es")</f>
        <v>@revol_es</v>
      </c>
      <c r="C1693" s="8" t="s">
        <v>5275</v>
      </c>
      <c r="D1693" s="9" t="s">
        <v>5276</v>
      </c>
      <c r="E1693" s="10" t="str">
        <f>HYPERLINK("https://twitter.com/revol_es/status/1062428515394560000","1062428515394560000")</f>
        <v>1062428515394560000</v>
      </c>
      <c r="F1693" s="12"/>
      <c r="G1693" s="12"/>
      <c r="H1693" s="12"/>
      <c r="I1693" s="13">
        <v>2</v>
      </c>
      <c r="J1693" s="13">
        <v>2</v>
      </c>
      <c r="K1693" s="14" t="str">
        <f t="shared" ref="K1693:K1696" si="487">HYPERLINK("http://twitter.com/download/android","Twitter for Android")</f>
        <v>Twitter for Android</v>
      </c>
      <c r="L1693" s="13">
        <v>1330</v>
      </c>
      <c r="M1693" s="13">
        <v>897</v>
      </c>
      <c r="N1693" s="13">
        <v>3</v>
      </c>
      <c r="O1693" s="15"/>
      <c r="P1693" s="6">
        <v>42413.555208333331</v>
      </c>
      <c r="Q1693" s="12"/>
      <c r="R1693" s="17" t="s">
        <v>5279</v>
      </c>
      <c r="S1693" s="11" t="s">
        <v>5280</v>
      </c>
      <c r="T1693" s="12"/>
      <c r="U1693" s="10" t="str">
        <f>HYPERLINK("https://pbs.twimg.com/profile_images/1035207491813101568/eqj_jdOb.jpg","View")</f>
        <v>View</v>
      </c>
    </row>
    <row r="1694" spans="1:21" ht="20.399999999999999">
      <c r="A1694" s="6">
        <v>43417.85637731482</v>
      </c>
      <c r="B1694" s="7" t="str">
        <f>HYPERLINK("https://twitter.com/El_Festivalero","@El_Festivalero")</f>
        <v>@El_Festivalero</v>
      </c>
      <c r="C1694" s="8" t="s">
        <v>5577</v>
      </c>
      <c r="D1694" s="9" t="s">
        <v>5578</v>
      </c>
      <c r="E1694" s="10" t="str">
        <f>HYPERLINK("https://twitter.com/El_Festivalero/status/1062428180429053952","1062428180429053952")</f>
        <v>1062428180429053952</v>
      </c>
      <c r="F1694" s="12"/>
      <c r="G1694" s="12"/>
      <c r="H1694" s="12"/>
      <c r="I1694" s="13">
        <v>0</v>
      </c>
      <c r="J1694" s="13">
        <v>0</v>
      </c>
      <c r="K1694" s="14" t="str">
        <f t="shared" si="487"/>
        <v>Twitter for Android</v>
      </c>
      <c r="L1694" s="13">
        <v>150</v>
      </c>
      <c r="M1694" s="13">
        <v>206</v>
      </c>
      <c r="N1694" s="13">
        <v>1</v>
      </c>
      <c r="O1694" s="15"/>
      <c r="P1694" s="6">
        <v>42918.746550925927</v>
      </c>
      <c r="Q1694" s="16" t="s">
        <v>5579</v>
      </c>
      <c r="R1694" s="17" t="s">
        <v>5580</v>
      </c>
      <c r="S1694" s="12"/>
      <c r="T1694" s="12"/>
      <c r="U1694" s="10" t="str">
        <f>HYPERLINK("https://pbs.twimg.com/profile_images/881595524012548101/s4OZkq3Q.jpg","View")</f>
        <v>View</v>
      </c>
    </row>
    <row r="1695" spans="1:21" ht="51">
      <c r="A1695" s="6">
        <v>43417.844143518523</v>
      </c>
      <c r="B1695" s="7" t="str">
        <f>HYPERLINK("https://twitter.com/Elisabetromer10","@Elisabetromer10")</f>
        <v>@Elisabetromer10</v>
      </c>
      <c r="C1695" s="8" t="s">
        <v>859</v>
      </c>
      <c r="D1695" s="9" t="s">
        <v>5581</v>
      </c>
      <c r="E1695" s="10" t="str">
        <f>HYPERLINK("https://twitter.com/Elisabetromer10/status/1062423744587710466","1062423744587710466")</f>
        <v>1062423744587710466</v>
      </c>
      <c r="F1695" s="11" t="s">
        <v>4224</v>
      </c>
      <c r="G1695" s="12"/>
      <c r="H1695" s="12"/>
      <c r="I1695" s="13">
        <v>1</v>
      </c>
      <c r="J1695" s="13">
        <v>1</v>
      </c>
      <c r="K1695" s="14" t="str">
        <f t="shared" si="487"/>
        <v>Twitter for Android</v>
      </c>
      <c r="L1695" s="13">
        <v>495</v>
      </c>
      <c r="M1695" s="13">
        <v>68</v>
      </c>
      <c r="N1695" s="13">
        <v>2</v>
      </c>
      <c r="O1695" s="15"/>
      <c r="P1695" s="6">
        <v>42696.426307870366</v>
      </c>
      <c r="Q1695" s="16" t="s">
        <v>571</v>
      </c>
      <c r="R1695" s="17" t="s">
        <v>861</v>
      </c>
      <c r="S1695" s="12"/>
      <c r="T1695" s="12"/>
      <c r="U1695" s="10" t="str">
        <f>HYPERLINK("https://pbs.twimg.com/profile_images/1038041955601707010/8GkI9p7y.jpg","View")</f>
        <v>View</v>
      </c>
    </row>
    <row r="1696" spans="1:21" ht="20.399999999999999">
      <c r="A1696" s="6">
        <v>43417.835324074069</v>
      </c>
      <c r="B1696" s="7" t="str">
        <f>HYPERLINK("https://twitter.com/KHeartConnected","@KHeartConnected")</f>
        <v>@KHeartConnected</v>
      </c>
      <c r="C1696" s="8" t="s">
        <v>5281</v>
      </c>
      <c r="D1696" s="9" t="s">
        <v>5282</v>
      </c>
      <c r="E1696" s="10" t="str">
        <f>HYPERLINK("https://twitter.com/KHeartConnected/status/1062420551313092609","1062420551313092609")</f>
        <v>1062420551313092609</v>
      </c>
      <c r="F1696" s="12"/>
      <c r="G1696" s="12"/>
      <c r="H1696" s="12"/>
      <c r="I1696" s="13">
        <v>0</v>
      </c>
      <c r="J1696" s="13">
        <v>1</v>
      </c>
      <c r="K1696" s="14" t="str">
        <f t="shared" si="487"/>
        <v>Twitter for Android</v>
      </c>
      <c r="L1696" s="13">
        <v>996</v>
      </c>
      <c r="M1696" s="13">
        <v>345</v>
      </c>
      <c r="N1696" s="13">
        <v>20</v>
      </c>
      <c r="O1696" s="15"/>
      <c r="P1696" s="6">
        <v>40824.771967592591</v>
      </c>
      <c r="Q1696" s="16" t="s">
        <v>5283</v>
      </c>
      <c r="R1696" s="17" t="s">
        <v>5284</v>
      </c>
      <c r="S1696" s="11" t="s">
        <v>5285</v>
      </c>
      <c r="T1696" s="12"/>
      <c r="U1696" s="10" t="str">
        <f>HYPERLINK("https://pbs.twimg.com/profile_images/1029555284556046338/mTXxTFc2.jpg","View")</f>
        <v>View</v>
      </c>
    </row>
    <row r="1697" spans="1:21" ht="51">
      <c r="A1697" s="6">
        <v>43417.834722222222</v>
      </c>
      <c r="B1697" s="7" t="str">
        <f t="shared" ref="B1697:B1698" si="488">HYPERLINK("https://twitter.com/bitMomentum","@bitMomentum")</f>
        <v>@bitMomentum</v>
      </c>
      <c r="C1697" s="8" t="s">
        <v>368</v>
      </c>
      <c r="D1697" s="9" t="s">
        <v>5286</v>
      </c>
      <c r="E1697" s="10" t="str">
        <f>HYPERLINK("https://twitter.com/bitMomentum/status/1062420330067697671","1062420330067697671")</f>
        <v>1062420330067697671</v>
      </c>
      <c r="F1697" s="12"/>
      <c r="G1697" s="12"/>
      <c r="H1697" s="12"/>
      <c r="I1697" s="13">
        <v>0</v>
      </c>
      <c r="J1697" s="13">
        <v>0</v>
      </c>
      <c r="K1697" s="14" t="str">
        <f t="shared" ref="K1697:K1698" si="489">HYPERLINK("http://www.bitmomentum.com","bitMomentum Bot")</f>
        <v>bitMomentum Bot</v>
      </c>
      <c r="L1697" s="13">
        <v>10132</v>
      </c>
      <c r="M1697" s="13">
        <v>1060</v>
      </c>
      <c r="N1697" s="13">
        <v>267</v>
      </c>
      <c r="O1697" s="15"/>
      <c r="P1697" s="6">
        <v>41608.667511574073</v>
      </c>
      <c r="Q1697" s="12"/>
      <c r="R1697" s="17" t="s">
        <v>371</v>
      </c>
      <c r="S1697" s="11" t="s">
        <v>372</v>
      </c>
      <c r="T1697" s="12"/>
      <c r="U1697" s="10" t="str">
        <f t="shared" ref="U1697:U1698" si="490">HYPERLINK("https://pbs.twimg.com/profile_images/378800000862185241/20ij2H3u.png","View")</f>
        <v>View</v>
      </c>
    </row>
    <row r="1698" spans="1:21" ht="51">
      <c r="A1698" s="6">
        <v>43417.834027777775</v>
      </c>
      <c r="B1698" s="7" t="str">
        <f t="shared" si="488"/>
        <v>@bitMomentum</v>
      </c>
      <c r="C1698" s="8" t="s">
        <v>368</v>
      </c>
      <c r="D1698" s="9" t="s">
        <v>5287</v>
      </c>
      <c r="E1698" s="10" t="str">
        <f>HYPERLINK("https://twitter.com/bitMomentum/status/1062420078560534528","1062420078560534528")</f>
        <v>1062420078560534528</v>
      </c>
      <c r="F1698" s="12"/>
      <c r="G1698" s="12"/>
      <c r="H1698" s="12"/>
      <c r="I1698" s="13">
        <v>1</v>
      </c>
      <c r="J1698" s="13">
        <v>0</v>
      </c>
      <c r="K1698" s="14" t="str">
        <f t="shared" si="489"/>
        <v>bitMomentum Bot</v>
      </c>
      <c r="L1698" s="13">
        <v>10132</v>
      </c>
      <c r="M1698" s="13">
        <v>1060</v>
      </c>
      <c r="N1698" s="13">
        <v>267</v>
      </c>
      <c r="O1698" s="15"/>
      <c r="P1698" s="6">
        <v>41608.667511574073</v>
      </c>
      <c r="Q1698" s="12"/>
      <c r="R1698" s="17" t="s">
        <v>371</v>
      </c>
      <c r="S1698" s="11" t="s">
        <v>372</v>
      </c>
      <c r="T1698" s="12"/>
      <c r="U1698" s="10" t="str">
        <f t="shared" si="490"/>
        <v>View</v>
      </c>
    </row>
    <row r="1699" spans="1:21" ht="81.599999999999994">
      <c r="A1699" s="6">
        <v>43417.831250000003</v>
      </c>
      <c r="B1699" s="7" t="str">
        <f>HYPERLINK("https://twitter.com/fdavaloso","@fdavaloso")</f>
        <v>@fdavaloso</v>
      </c>
      <c r="C1699" s="8" t="s">
        <v>2107</v>
      </c>
      <c r="D1699" s="9" t="s">
        <v>5288</v>
      </c>
      <c r="E1699" s="10" t="str">
        <f>HYPERLINK("https://twitter.com/fdavaloso/status/1062419072061792256","1062419072061792256")</f>
        <v>1062419072061792256</v>
      </c>
      <c r="F1699" s="16" t="s">
        <v>5149</v>
      </c>
      <c r="G1699" s="12"/>
      <c r="H1699" s="12"/>
      <c r="I1699" s="13">
        <v>0</v>
      </c>
      <c r="J1699" s="13">
        <v>0</v>
      </c>
      <c r="K1699" s="14" t="str">
        <f>HYPERLINK("http://twitter.com/download/iphone","Twitter for iPhone")</f>
        <v>Twitter for iPhone</v>
      </c>
      <c r="L1699" s="13">
        <v>1339</v>
      </c>
      <c r="M1699" s="13">
        <v>2292</v>
      </c>
      <c r="N1699" s="13">
        <v>29</v>
      </c>
      <c r="O1699" s="15"/>
      <c r="P1699" s="6">
        <v>41360.216597222221</v>
      </c>
      <c r="Q1699" s="16" t="s">
        <v>2112</v>
      </c>
      <c r="R1699" s="17" t="s">
        <v>2113</v>
      </c>
      <c r="S1699" s="11" t="s">
        <v>2114</v>
      </c>
      <c r="T1699" s="12"/>
      <c r="U1699" s="10" t="str">
        <f>HYPERLINK("https://pbs.twimg.com/profile_images/1058879846946754561/VuZ2hAh1.jpg","View")</f>
        <v>View</v>
      </c>
    </row>
    <row r="1700" spans="1:21" ht="61.2">
      <c r="A1700" s="6">
        <v>43417.826944444445</v>
      </c>
      <c r="B1700" s="7" t="str">
        <f>HYPERLINK("https://twitter.com/JaviBronceado","@JaviBronceado")</f>
        <v>@JaviBronceado</v>
      </c>
      <c r="C1700" s="8" t="s">
        <v>5289</v>
      </c>
      <c r="D1700" s="9" t="s">
        <v>5290</v>
      </c>
      <c r="E1700" s="10" t="str">
        <f>HYPERLINK("https://twitter.com/JaviBronceado/status/1062417513861038080","1062417513861038080")</f>
        <v>1062417513861038080</v>
      </c>
      <c r="F1700" s="12"/>
      <c r="G1700" s="11" t="s">
        <v>5291</v>
      </c>
      <c r="H1700" s="12"/>
      <c r="I1700" s="13">
        <v>0</v>
      </c>
      <c r="J1700" s="13">
        <v>1</v>
      </c>
      <c r="K1700" s="14" t="str">
        <f t="shared" ref="K1700:K1704" si="491">HYPERLINK("http://twitter.com/download/android","Twitter for Android")</f>
        <v>Twitter for Android</v>
      </c>
      <c r="L1700" s="13">
        <v>586</v>
      </c>
      <c r="M1700" s="13">
        <v>346</v>
      </c>
      <c r="N1700" s="13">
        <v>0</v>
      </c>
      <c r="O1700" s="15"/>
      <c r="P1700" s="6">
        <v>41657.577847222223</v>
      </c>
      <c r="Q1700" s="16" t="s">
        <v>5292</v>
      </c>
      <c r="R1700" s="17" t="s">
        <v>5293</v>
      </c>
      <c r="S1700" s="12"/>
      <c r="T1700" s="12"/>
      <c r="U1700" s="10" t="str">
        <f>HYPERLINK("https://pbs.twimg.com/profile_images/942111747292454912/Fe3H8nYd.jpg","View")</f>
        <v>View</v>
      </c>
    </row>
    <row r="1701" spans="1:21" ht="61.2">
      <c r="A1701" s="6">
        <v>43417.824907407412</v>
      </c>
      <c r="B1701" s="7" t="str">
        <f>HYPERLINK("https://twitter.com/AzraVox","@AzraVox")</f>
        <v>@AzraVox</v>
      </c>
      <c r="C1701" s="8" t="s">
        <v>5294</v>
      </c>
      <c r="D1701" s="9" t="s">
        <v>5295</v>
      </c>
      <c r="E1701" s="10" t="str">
        <f>HYPERLINK("https://twitter.com/AzraVox/status/1062416773222461440","1062416773222461440")</f>
        <v>1062416773222461440</v>
      </c>
      <c r="F1701" s="12"/>
      <c r="G1701" s="12"/>
      <c r="H1701" s="12"/>
      <c r="I1701" s="13">
        <v>1</v>
      </c>
      <c r="J1701" s="13">
        <v>13</v>
      </c>
      <c r="K1701" s="14" t="str">
        <f t="shared" si="491"/>
        <v>Twitter for Android</v>
      </c>
      <c r="L1701" s="13">
        <v>452</v>
      </c>
      <c r="M1701" s="13">
        <v>368</v>
      </c>
      <c r="N1701" s="13">
        <v>3</v>
      </c>
      <c r="O1701" s="15"/>
      <c r="P1701" s="6">
        <v>43389.643379629633</v>
      </c>
      <c r="Q1701" s="16" t="s">
        <v>198</v>
      </c>
      <c r="R1701" s="17" t="s">
        <v>5296</v>
      </c>
      <c r="S1701" s="12"/>
      <c r="T1701" s="12"/>
      <c r="U1701" s="10" t="str">
        <f>HYPERLINK("https://pbs.twimg.com/profile_images/1062848616195330048/2CKkqRDs.jpg","View")</f>
        <v>View</v>
      </c>
    </row>
    <row r="1702" spans="1:21" ht="20.399999999999999">
      <c r="A1702" s="6">
        <v>43417.81931712963</v>
      </c>
      <c r="B1702" s="7" t="str">
        <f>HYPERLINK("https://twitter.com/delcastillo25","@delcastillo25")</f>
        <v>@delcastillo25</v>
      </c>
      <c r="C1702" s="8" t="s">
        <v>5582</v>
      </c>
      <c r="D1702" s="9" t="s">
        <v>5583</v>
      </c>
      <c r="E1702" s="10" t="str">
        <f>HYPERLINK("https://twitter.com/delcastillo25/status/1062414750099914762","1062414750099914762")</f>
        <v>1062414750099914762</v>
      </c>
      <c r="F1702" s="12"/>
      <c r="G1702" s="12"/>
      <c r="H1702" s="12"/>
      <c r="I1702" s="13">
        <v>0</v>
      </c>
      <c r="J1702" s="13">
        <v>0</v>
      </c>
      <c r="K1702" s="14" t="str">
        <f t="shared" si="491"/>
        <v>Twitter for Android</v>
      </c>
      <c r="L1702" s="13">
        <v>229</v>
      </c>
      <c r="M1702" s="13">
        <v>538</v>
      </c>
      <c r="N1702" s="13">
        <v>4</v>
      </c>
      <c r="O1702" s="15"/>
      <c r="P1702" s="6">
        <v>41903.564201388886</v>
      </c>
      <c r="Q1702" s="16" t="s">
        <v>1483</v>
      </c>
      <c r="R1702" s="17" t="s">
        <v>3896</v>
      </c>
      <c r="S1702" s="12"/>
      <c r="T1702" s="12"/>
      <c r="U1702" s="10" t="str">
        <f>HYPERLINK("https://pbs.twimg.com/profile_images/1051985158616821760/z6wqXGAK.jpg","View")</f>
        <v>View</v>
      </c>
    </row>
    <row r="1703" spans="1:21" ht="51">
      <c r="A1703" s="6">
        <v>43417.817847222221</v>
      </c>
      <c r="B1703" s="7" t="str">
        <f>HYPERLINK("https://twitter.com/voxnoticias_es","@voxnoticias_es")</f>
        <v>@voxnoticias_es</v>
      </c>
      <c r="C1703" s="8" t="s">
        <v>234</v>
      </c>
      <c r="D1703" s="9" t="s">
        <v>5297</v>
      </c>
      <c r="E1703" s="10" t="str">
        <f>HYPERLINK("https://twitter.com/voxnoticias_es/status/1062414217058439169","1062414217058439169")</f>
        <v>1062414217058439169</v>
      </c>
      <c r="F1703" s="12"/>
      <c r="G1703" s="11" t="s">
        <v>5298</v>
      </c>
      <c r="H1703" s="12"/>
      <c r="I1703" s="13">
        <v>217</v>
      </c>
      <c r="J1703" s="13">
        <v>294</v>
      </c>
      <c r="K1703" s="14" t="str">
        <f t="shared" si="491"/>
        <v>Twitter for Android</v>
      </c>
      <c r="L1703" s="13">
        <v>19279</v>
      </c>
      <c r="M1703" s="13">
        <v>2124</v>
      </c>
      <c r="N1703" s="13">
        <v>136</v>
      </c>
      <c r="O1703" s="15"/>
      <c r="P1703" s="6">
        <v>41687.875428240739</v>
      </c>
      <c r="Q1703" s="16" t="s">
        <v>238</v>
      </c>
      <c r="R1703" s="17" t="s">
        <v>239</v>
      </c>
      <c r="S1703" s="11" t="s">
        <v>240</v>
      </c>
      <c r="T1703" s="12"/>
      <c r="U1703" s="10" t="str">
        <f>HYPERLINK("https://pbs.twimg.com/profile_images/900432165195980801/-2-6PzuU.jpg","View")</f>
        <v>View</v>
      </c>
    </row>
    <row r="1704" spans="1:21" ht="51">
      <c r="A1704" s="6">
        <v>43417.81559027778</v>
      </c>
      <c r="B1704" s="7" t="str">
        <f>HYPERLINK("https://twitter.com/alfilvaliente","@alfilvaliente")</f>
        <v>@alfilvaliente</v>
      </c>
      <c r="C1704" s="8" t="s">
        <v>63</v>
      </c>
      <c r="D1704" s="9" t="s">
        <v>5299</v>
      </c>
      <c r="E1704" s="10" t="str">
        <f>HYPERLINK("https://twitter.com/alfilvaliente/status/1062413399986978817","1062413399986978817")</f>
        <v>1062413399986978817</v>
      </c>
      <c r="F1704" s="11" t="s">
        <v>5300</v>
      </c>
      <c r="G1704" s="12"/>
      <c r="H1704" s="12"/>
      <c r="I1704" s="13">
        <v>0</v>
      </c>
      <c r="J1704" s="13">
        <v>1</v>
      </c>
      <c r="K1704" s="14" t="str">
        <f t="shared" si="491"/>
        <v>Twitter for Android</v>
      </c>
      <c r="L1704" s="13">
        <v>140</v>
      </c>
      <c r="M1704" s="13">
        <v>175</v>
      </c>
      <c r="N1704" s="13">
        <v>2</v>
      </c>
      <c r="O1704" s="15"/>
      <c r="P1704" s="6">
        <v>42155.723541666666</v>
      </c>
      <c r="Q1704" s="16" t="s">
        <v>66</v>
      </c>
      <c r="R1704" s="17" t="s">
        <v>67</v>
      </c>
      <c r="S1704" s="12"/>
      <c r="T1704" s="12"/>
      <c r="U1704" s="10" t="str">
        <f>HYPERLINK("https://pbs.twimg.com/profile_images/1048557989513322496/MOej_hMM.jpg","View")</f>
        <v>View</v>
      </c>
    </row>
    <row r="1705" spans="1:21" ht="91.8">
      <c r="A1705" s="6">
        <v>43417.81417824074</v>
      </c>
      <c r="B1705" s="7" t="str">
        <f>HYPERLINK("https://twitter.com/Ferfersix","@Ferfersix")</f>
        <v>@Ferfersix</v>
      </c>
      <c r="C1705" s="8" t="s">
        <v>3706</v>
      </c>
      <c r="D1705" s="9" t="s">
        <v>5301</v>
      </c>
      <c r="E1705" s="10" t="str">
        <f>HYPERLINK("https://twitter.com/Ferfersix/status/1062412885530427392","1062412885530427392")</f>
        <v>1062412885530427392</v>
      </c>
      <c r="F1705" s="16" t="s">
        <v>5149</v>
      </c>
      <c r="G1705" s="12"/>
      <c r="H1705" s="12"/>
      <c r="I1705" s="13">
        <v>0</v>
      </c>
      <c r="J1705" s="13">
        <v>0</v>
      </c>
      <c r="K1705" s="14" t="str">
        <f t="shared" ref="K1705:K1706" si="492">HYPERLINK("http://twitter.com","Twitter Web Client")</f>
        <v>Twitter Web Client</v>
      </c>
      <c r="L1705" s="13">
        <v>1035</v>
      </c>
      <c r="M1705" s="13">
        <v>991</v>
      </c>
      <c r="N1705" s="13">
        <v>15</v>
      </c>
      <c r="O1705" s="15"/>
      <c r="P1705" s="6">
        <v>40806.998043981483</v>
      </c>
      <c r="Q1705" s="16" t="s">
        <v>66</v>
      </c>
      <c r="R1705" s="17" t="s">
        <v>3709</v>
      </c>
      <c r="S1705" s="12"/>
      <c r="T1705" s="12"/>
      <c r="U1705" s="10" t="str">
        <f>HYPERLINK("https://pbs.twimg.com/profile_images/1007795936972730368/0s0N9SNN.jpg","View")</f>
        <v>View</v>
      </c>
    </row>
    <row r="1706" spans="1:21" ht="40.799999999999997">
      <c r="A1706" s="6">
        <v>43417.808645833335</v>
      </c>
      <c r="B1706" s="7" t="str">
        <f>HYPERLINK("https://twitter.com/ColectivoPresos","@ColectivoPresos")</f>
        <v>@ColectivoPresos</v>
      </c>
      <c r="C1706" s="8" t="s">
        <v>5302</v>
      </c>
      <c r="D1706" s="9" t="s">
        <v>5303</v>
      </c>
      <c r="E1706" s="10" t="str">
        <f>HYPERLINK("https://twitter.com/ColectivoPresos/status/1062410882066591745","1062410882066591745")</f>
        <v>1062410882066591745</v>
      </c>
      <c r="F1706" s="12"/>
      <c r="G1706" s="12"/>
      <c r="H1706" s="12"/>
      <c r="I1706" s="13">
        <v>0</v>
      </c>
      <c r="J1706" s="13">
        <v>3</v>
      </c>
      <c r="K1706" s="14" t="str">
        <f t="shared" si="492"/>
        <v>Twitter Web Client</v>
      </c>
      <c r="L1706" s="13">
        <v>267</v>
      </c>
      <c r="M1706" s="13">
        <v>360</v>
      </c>
      <c r="N1706" s="13">
        <v>3</v>
      </c>
      <c r="O1706" s="15"/>
      <c r="P1706" s="6">
        <v>42895.514849537038</v>
      </c>
      <c r="Q1706" s="16" t="s">
        <v>5304</v>
      </c>
      <c r="R1706" s="17" t="s">
        <v>5305</v>
      </c>
      <c r="S1706" s="12"/>
      <c r="T1706" s="12"/>
      <c r="U1706" s="10" t="str">
        <f>HYPERLINK("https://pbs.twimg.com/profile_images/912334951177220098/H85RSUMZ.jpg","View")</f>
        <v>View</v>
      </c>
    </row>
    <row r="1707" spans="1:21" ht="51">
      <c r="A1707" s="6">
        <v>43417.807650462964</v>
      </c>
      <c r="B1707" s="7" t="str">
        <f>HYPERLINK("https://twitter.com/Nacho_JISF","@Nacho_JISF")</f>
        <v>@Nacho_JISF</v>
      </c>
      <c r="C1707" s="8" t="s">
        <v>5306</v>
      </c>
      <c r="D1707" s="9" t="s">
        <v>5307</v>
      </c>
      <c r="E1707" s="10" t="str">
        <f>HYPERLINK("https://twitter.com/Nacho_JISF/status/1062410522195386368","1062410522195386368")</f>
        <v>1062410522195386368</v>
      </c>
      <c r="F1707" s="11" t="s">
        <v>5308</v>
      </c>
      <c r="G1707" s="12"/>
      <c r="H1707" s="12"/>
      <c r="I1707" s="13">
        <v>28</v>
      </c>
      <c r="J1707" s="13">
        <v>17</v>
      </c>
      <c r="K1707" s="14" t="str">
        <f t="shared" ref="K1707:K1708" si="493">HYPERLINK("http://twitter.com/download/android","Twitter for Android")</f>
        <v>Twitter for Android</v>
      </c>
      <c r="L1707" s="13">
        <v>1481</v>
      </c>
      <c r="M1707" s="13">
        <v>1419</v>
      </c>
      <c r="N1707" s="13">
        <v>6</v>
      </c>
      <c r="O1707" s="15"/>
      <c r="P1707" s="6">
        <v>42813.016597222224</v>
      </c>
      <c r="Q1707" s="16" t="s">
        <v>5309</v>
      </c>
      <c r="R1707" s="17" t="s">
        <v>5310</v>
      </c>
      <c r="S1707" s="12"/>
      <c r="T1707" s="12"/>
      <c r="U1707" s="10" t="str">
        <f>HYPERLINK("https://pbs.twimg.com/profile_images/938843378896244738/Jxa7djDg.jpg","View")</f>
        <v>View</v>
      </c>
    </row>
    <row r="1708" spans="1:21" ht="51">
      <c r="A1708" s="6">
        <v>43417.805625000001</v>
      </c>
      <c r="B1708" s="7" t="str">
        <f>HYPERLINK("https://twitter.com/canasporespana","@canasporespana")</f>
        <v>@canasporespana</v>
      </c>
      <c r="C1708" s="8" t="s">
        <v>2720</v>
      </c>
      <c r="D1708" s="9" t="s">
        <v>5311</v>
      </c>
      <c r="E1708" s="10" t="str">
        <f>HYPERLINK("https://twitter.com/canasporespana/status/1062409787621695489","1062409787621695489")</f>
        <v>1062409787621695489</v>
      </c>
      <c r="F1708" s="11" t="s">
        <v>5095</v>
      </c>
      <c r="G1708" s="11" t="s">
        <v>5312</v>
      </c>
      <c r="H1708" s="12"/>
      <c r="I1708" s="13">
        <v>18</v>
      </c>
      <c r="J1708" s="13">
        <v>30</v>
      </c>
      <c r="K1708" s="14" t="str">
        <f t="shared" si="493"/>
        <v>Twitter for Android</v>
      </c>
      <c r="L1708" s="13">
        <v>6219</v>
      </c>
      <c r="M1708" s="13">
        <v>266</v>
      </c>
      <c r="N1708" s="13">
        <v>40</v>
      </c>
      <c r="O1708" s="15"/>
      <c r="P1708" s="6">
        <v>42712.424108796295</v>
      </c>
      <c r="Q1708" s="16" t="s">
        <v>66</v>
      </c>
      <c r="R1708" s="17" t="s">
        <v>2723</v>
      </c>
      <c r="S1708" s="11" t="s">
        <v>2724</v>
      </c>
      <c r="T1708" s="12"/>
      <c r="U1708" s="10" t="str">
        <f>HYPERLINK("https://pbs.twimg.com/profile_images/1035610115146170368/_VF2Ge_a.jpg","View")</f>
        <v>View</v>
      </c>
    </row>
    <row r="1709" spans="1:21" ht="71.400000000000006">
      <c r="A1709" s="6">
        <v>43417.803576388891</v>
      </c>
      <c r="B1709" s="7" t="str">
        <f>HYPERLINK("https://twitter.com/RojosPiojosos","@RojosPiojosos")</f>
        <v>@RojosPiojosos</v>
      </c>
      <c r="C1709" s="8" t="s">
        <v>4065</v>
      </c>
      <c r="D1709" s="9" t="s">
        <v>5313</v>
      </c>
      <c r="E1709" s="10" t="str">
        <f>HYPERLINK("https://twitter.com/RojosPiojosos/status/1062409043850002432","1062409043850002432")</f>
        <v>1062409043850002432</v>
      </c>
      <c r="F1709" s="16" t="s">
        <v>5149</v>
      </c>
      <c r="G1709" s="12"/>
      <c r="H1709" s="12"/>
      <c r="I1709" s="13">
        <v>2</v>
      </c>
      <c r="J1709" s="13">
        <v>1</v>
      </c>
      <c r="K1709" s="14" t="str">
        <f>HYPERLINK("http://twitter.com","Twitter Web Client")</f>
        <v>Twitter Web Client</v>
      </c>
      <c r="L1709" s="13">
        <v>1123</v>
      </c>
      <c r="M1709" s="13">
        <v>728</v>
      </c>
      <c r="N1709" s="13">
        <v>29</v>
      </c>
      <c r="O1709" s="15"/>
      <c r="P1709" s="6">
        <v>40616.49083333333</v>
      </c>
      <c r="Q1709" s="16" t="s">
        <v>44</v>
      </c>
      <c r="R1709" s="17" t="s">
        <v>4068</v>
      </c>
      <c r="S1709" s="12"/>
      <c r="T1709" s="12"/>
      <c r="U1709" s="10" t="str">
        <f>HYPERLINK("https://pbs.twimg.com/profile_images/784688243543576576/u_o-dWZX.jpg","View")</f>
        <v>View</v>
      </c>
    </row>
    <row r="1710" spans="1:21" ht="61.2">
      <c r="A1710" s="6">
        <v>43417.801562499997</v>
      </c>
      <c r="B1710" s="7" t="str">
        <f>HYPERLINK("https://twitter.com/cuentavox","@cuentavox")</f>
        <v>@cuentavox</v>
      </c>
      <c r="C1710" s="8" t="s">
        <v>2215</v>
      </c>
      <c r="D1710" s="9" t="s">
        <v>5314</v>
      </c>
      <c r="E1710" s="10" t="str">
        <f>HYPERLINK("https://twitter.com/cuentavox/status/1062408313919414274","1062408313919414274")</f>
        <v>1062408313919414274</v>
      </c>
      <c r="F1710" s="12"/>
      <c r="G1710" s="12"/>
      <c r="H1710" s="12"/>
      <c r="I1710" s="13">
        <v>0</v>
      </c>
      <c r="J1710" s="13">
        <v>0</v>
      </c>
      <c r="K1710" s="14" t="str">
        <f>HYPERLINK("http://twitter.com/download/iphone","Twitter for iPhone")</f>
        <v>Twitter for iPhone</v>
      </c>
      <c r="L1710" s="13">
        <v>1151</v>
      </c>
      <c r="M1710" s="13">
        <v>344</v>
      </c>
      <c r="N1710" s="13">
        <v>25</v>
      </c>
      <c r="O1710" s="15"/>
      <c r="P1710" s="6">
        <v>42390.786990740744</v>
      </c>
      <c r="Q1710" s="16" t="s">
        <v>2218</v>
      </c>
      <c r="R1710" s="17" t="s">
        <v>2219</v>
      </c>
      <c r="S1710" s="12"/>
      <c r="T1710" s="12"/>
      <c r="U1710" s="10" t="str">
        <f>HYPERLINK("https://pbs.twimg.com/profile_images/1064649033933864961/yLorZbPr.jpg","View")</f>
        <v>View</v>
      </c>
    </row>
    <row r="1711" spans="1:21" ht="51">
      <c r="A1711" s="6">
        <v>43417.801180555558</v>
      </c>
      <c r="B1711" s="7" t="str">
        <f>HYPERLINK("https://twitter.com/Crooperc","@Crooperc")</f>
        <v>@Crooperc</v>
      </c>
      <c r="C1711" s="8" t="s">
        <v>4796</v>
      </c>
      <c r="D1711" s="9" t="s">
        <v>5584</v>
      </c>
      <c r="E1711" s="10" t="str">
        <f>HYPERLINK("https://twitter.com/Crooperc/status/1062408177692672000","1062408177692672000")</f>
        <v>1062408177692672000</v>
      </c>
      <c r="F1711" s="12"/>
      <c r="G1711" s="12"/>
      <c r="H1711" s="12"/>
      <c r="I1711" s="13">
        <v>1</v>
      </c>
      <c r="J1711" s="13">
        <v>2</v>
      </c>
      <c r="K1711" s="14" t="str">
        <f>HYPERLINK("http://twitter.com","Twitter Web Client")</f>
        <v>Twitter Web Client</v>
      </c>
      <c r="L1711" s="13">
        <v>448</v>
      </c>
      <c r="M1711" s="13">
        <v>1008</v>
      </c>
      <c r="N1711" s="13">
        <v>7</v>
      </c>
      <c r="O1711" s="15"/>
      <c r="P1711" s="6">
        <v>40576.682604166665</v>
      </c>
      <c r="Q1711" s="16" t="s">
        <v>44</v>
      </c>
      <c r="R1711" s="17" t="s">
        <v>4800</v>
      </c>
      <c r="S1711" s="12"/>
      <c r="T1711" s="12"/>
      <c r="U1711" s="10" t="str">
        <f>HYPERLINK("https://pbs.twimg.com/profile_images/710548663265857536/-TZuIifW.jpg","View")</f>
        <v>View</v>
      </c>
    </row>
    <row r="1712" spans="1:21" ht="40.799999999999997">
      <c r="A1712" s="6">
        <v>43417.799444444448</v>
      </c>
      <c r="B1712" s="7" t="str">
        <f>HYPERLINK("https://twitter.com/FinoFilipino","@FinoFilipino")</f>
        <v>@FinoFilipino</v>
      </c>
      <c r="C1712" s="8" t="s">
        <v>5315</v>
      </c>
      <c r="D1712" s="9" t="s">
        <v>5316</v>
      </c>
      <c r="E1712" s="10" t="str">
        <f>HYPERLINK("https://twitter.com/FinoFilipino/status/1062407545824911363","1062407545824911363")</f>
        <v>1062407545824911363</v>
      </c>
      <c r="F1712" s="11" t="s">
        <v>5317</v>
      </c>
      <c r="G1712" s="16" t="s">
        <v>5318</v>
      </c>
      <c r="H1712" s="12"/>
      <c r="I1712" s="13">
        <v>0</v>
      </c>
      <c r="J1712" s="13">
        <v>2</v>
      </c>
      <c r="K1712" s="14" t="str">
        <f>HYPERLINK("https://ifttt.com","IFTTT")</f>
        <v>IFTTT</v>
      </c>
      <c r="L1712" s="13">
        <v>33819</v>
      </c>
      <c r="M1712" s="13">
        <v>970</v>
      </c>
      <c r="N1712" s="13">
        <v>342</v>
      </c>
      <c r="O1712" s="15"/>
      <c r="P1712" s="6">
        <v>40509.500844907408</v>
      </c>
      <c r="Q1712" s="16" t="s">
        <v>5319</v>
      </c>
      <c r="R1712" s="17" t="s">
        <v>5320</v>
      </c>
      <c r="S1712" s="11" t="s">
        <v>5321</v>
      </c>
      <c r="T1712" s="12"/>
      <c r="U1712" s="10" t="str">
        <f>HYPERLINK("https://pbs.twimg.com/profile_images/865532140087164929/YutHVFU_.jpg","View")</f>
        <v>View</v>
      </c>
    </row>
    <row r="1713" spans="1:21" ht="51">
      <c r="A1713" s="6">
        <v>43417.79305555555</v>
      </c>
      <c r="B1713" s="7" t="str">
        <f>HYPERLINK("https://twitter.com/bitMomentum","@bitMomentum")</f>
        <v>@bitMomentum</v>
      </c>
      <c r="C1713" s="8" t="s">
        <v>368</v>
      </c>
      <c r="D1713" s="9" t="s">
        <v>5322</v>
      </c>
      <c r="E1713" s="10" t="str">
        <f>HYPERLINK("https://twitter.com/bitMomentum/status/1062405230598479872","1062405230598479872")</f>
        <v>1062405230598479872</v>
      </c>
      <c r="F1713" s="12"/>
      <c r="G1713" s="12"/>
      <c r="H1713" s="12"/>
      <c r="I1713" s="13">
        <v>0</v>
      </c>
      <c r="J1713" s="13">
        <v>0</v>
      </c>
      <c r="K1713" s="14" t="str">
        <f>HYPERLINK("http://www.bitmomentum.com","bitMomentum Bot")</f>
        <v>bitMomentum Bot</v>
      </c>
      <c r="L1713" s="13">
        <v>10132</v>
      </c>
      <c r="M1713" s="13">
        <v>1060</v>
      </c>
      <c r="N1713" s="13">
        <v>267</v>
      </c>
      <c r="O1713" s="15"/>
      <c r="P1713" s="6">
        <v>41608.667511574073</v>
      </c>
      <c r="Q1713" s="12"/>
      <c r="R1713" s="17" t="s">
        <v>371</v>
      </c>
      <c r="S1713" s="11" t="s">
        <v>372</v>
      </c>
      <c r="T1713" s="12"/>
      <c r="U1713" s="10" t="str">
        <f>HYPERLINK("https://pbs.twimg.com/profile_images/378800000862185241/20ij2H3u.png","View")</f>
        <v>View</v>
      </c>
    </row>
    <row r="1714" spans="1:21" ht="71.400000000000006">
      <c r="A1714" s="6">
        <v>43417.792731481481</v>
      </c>
      <c r="B1714" s="7" t="str">
        <f>HYPERLINK("https://twitter.com/MecoVox","@MecoVox")</f>
        <v>@MecoVox</v>
      </c>
      <c r="C1714" s="8" t="s">
        <v>5323</v>
      </c>
      <c r="D1714" s="9" t="s">
        <v>5324</v>
      </c>
      <c r="E1714" s="10" t="str">
        <f>HYPERLINK("https://twitter.com/MecoVox/status/1062405115158638595","1062405115158638595")</f>
        <v>1062405115158638595</v>
      </c>
      <c r="F1714" s="16" t="s">
        <v>5149</v>
      </c>
      <c r="G1714" s="12"/>
      <c r="H1714" s="12"/>
      <c r="I1714" s="13">
        <v>3</v>
      </c>
      <c r="J1714" s="13">
        <v>7</v>
      </c>
      <c r="K1714" s="14" t="str">
        <f>HYPERLINK("http://twitter.com/download/android","Twitter for Android")</f>
        <v>Twitter for Android</v>
      </c>
      <c r="L1714" s="13">
        <v>117</v>
      </c>
      <c r="M1714" s="13">
        <v>129</v>
      </c>
      <c r="N1714" s="13">
        <v>0</v>
      </c>
      <c r="O1714" s="15"/>
      <c r="P1714" s="6">
        <v>43389.660636574074</v>
      </c>
      <c r="Q1714" s="16" t="s">
        <v>5325</v>
      </c>
      <c r="R1714" s="17" t="s">
        <v>5326</v>
      </c>
      <c r="S1714" s="11" t="s">
        <v>5327</v>
      </c>
      <c r="T1714" s="12"/>
      <c r="U1714" s="10" t="str">
        <f>HYPERLINK("https://pbs.twimg.com/profile_images/1052473713038426112/eJbX5DuC.jpg","View")</f>
        <v>View</v>
      </c>
    </row>
    <row r="1715" spans="1:21" ht="51">
      <c r="A1715" s="6">
        <v>43417.792361111111</v>
      </c>
      <c r="B1715" s="7" t="str">
        <f>HYPERLINK("https://twitter.com/bitMomentum","@bitMomentum")</f>
        <v>@bitMomentum</v>
      </c>
      <c r="C1715" s="8" t="s">
        <v>368</v>
      </c>
      <c r="D1715" s="9" t="s">
        <v>5328</v>
      </c>
      <c r="E1715" s="10" t="str">
        <f>HYPERLINK("https://twitter.com/bitMomentum/status/1062404978822840321","1062404978822840321")</f>
        <v>1062404978822840321</v>
      </c>
      <c r="F1715" s="12"/>
      <c r="G1715" s="12"/>
      <c r="H1715" s="12"/>
      <c r="I1715" s="13">
        <v>0</v>
      </c>
      <c r="J1715" s="13">
        <v>0</v>
      </c>
      <c r="K1715" s="14" t="str">
        <f>HYPERLINK("http://www.bitmomentum.com","bitMomentum Bot")</f>
        <v>bitMomentum Bot</v>
      </c>
      <c r="L1715" s="13">
        <v>10132</v>
      </c>
      <c r="M1715" s="13">
        <v>1060</v>
      </c>
      <c r="N1715" s="13">
        <v>267</v>
      </c>
      <c r="O1715" s="15"/>
      <c r="P1715" s="6">
        <v>41608.667511574073</v>
      </c>
      <c r="Q1715" s="12"/>
      <c r="R1715" s="17" t="s">
        <v>371</v>
      </c>
      <c r="S1715" s="11" t="s">
        <v>372</v>
      </c>
      <c r="T1715" s="12"/>
      <c r="U1715" s="10" t="str">
        <f>HYPERLINK("https://pbs.twimg.com/profile_images/378800000862185241/20ij2H3u.png","View")</f>
        <v>View</v>
      </c>
    </row>
    <row r="1716" spans="1:21" ht="20.399999999999999">
      <c r="A1716" s="6">
        <v>43417.79206018518</v>
      </c>
      <c r="B1716" s="7" t="str">
        <f>HYPERLINK("https://twitter.com/Bitey0uscum","@Bitey0uscum")</f>
        <v>@Bitey0uscum</v>
      </c>
      <c r="C1716" s="8" t="s">
        <v>5585</v>
      </c>
      <c r="D1716" s="9" t="s">
        <v>5586</v>
      </c>
      <c r="E1716" s="10" t="str">
        <f>HYPERLINK("https://twitter.com/Bitey0uscum/status/1062404872404959232","1062404872404959232")</f>
        <v>1062404872404959232</v>
      </c>
      <c r="F1716" s="12"/>
      <c r="G1716" s="12"/>
      <c r="H1716" s="12"/>
      <c r="I1716" s="13">
        <v>3</v>
      </c>
      <c r="J1716" s="13">
        <v>1</v>
      </c>
      <c r="K1716" s="14" t="str">
        <f>HYPERLINK("http://twitter.com/download/android","Twitter for Android")</f>
        <v>Twitter for Android</v>
      </c>
      <c r="L1716" s="13">
        <v>314</v>
      </c>
      <c r="M1716" s="13">
        <v>159</v>
      </c>
      <c r="N1716" s="13">
        <v>1</v>
      </c>
      <c r="O1716" s="15"/>
      <c r="P1716" s="6">
        <v>42775.927812499998</v>
      </c>
      <c r="Q1716" s="12"/>
      <c r="R1716" s="17" t="s">
        <v>5587</v>
      </c>
      <c r="S1716" s="12"/>
      <c r="T1716" s="12"/>
      <c r="U1716" s="10" t="str">
        <f>HYPERLINK("https://pbs.twimg.com/profile_images/880451561440382978/TLFB8KCy.jpg","View")</f>
        <v>View</v>
      </c>
    </row>
    <row r="1717" spans="1:21" ht="30.6">
      <c r="A1717" s="6">
        <v>43417.788912037038</v>
      </c>
      <c r="B1717" s="7" t="str">
        <f>HYPERLINK("https://twitter.com/recu_la_cordura","@recu_la_cordura")</f>
        <v>@recu_la_cordura</v>
      </c>
      <c r="C1717" s="8" t="s">
        <v>5588</v>
      </c>
      <c r="D1717" s="9" t="s">
        <v>5589</v>
      </c>
      <c r="E1717" s="10" t="str">
        <f>HYPERLINK("https://twitter.com/recu_la_cordura/status/1062403732124696576","1062403732124696576")</f>
        <v>1062403732124696576</v>
      </c>
      <c r="F1717" s="12"/>
      <c r="G1717" s="11" t="s">
        <v>5590</v>
      </c>
      <c r="H1717" s="12"/>
      <c r="I1717" s="13">
        <v>5</v>
      </c>
      <c r="J1717" s="13">
        <v>9</v>
      </c>
      <c r="K1717" s="14" t="str">
        <f>HYPERLINK("http://twitter.com/download/iphone","Twitter for iPhone")</f>
        <v>Twitter for iPhone</v>
      </c>
      <c r="L1717" s="13">
        <v>5399</v>
      </c>
      <c r="M1717" s="13">
        <v>2256</v>
      </c>
      <c r="N1717" s="13">
        <v>67</v>
      </c>
      <c r="O1717" s="15"/>
      <c r="P1717" s="6">
        <v>42055.45930555556</v>
      </c>
      <c r="Q1717" s="16" t="s">
        <v>104</v>
      </c>
      <c r="R1717" s="17" t="s">
        <v>5591</v>
      </c>
      <c r="S1717" s="11" t="s">
        <v>5592</v>
      </c>
      <c r="T1717" s="12"/>
      <c r="U1717" s="10" t="str">
        <f>HYPERLINK("https://pbs.twimg.com/profile_images/960141706711764993/ayz7R55O.jpg","View")</f>
        <v>View</v>
      </c>
    </row>
    <row r="1718" spans="1:21" ht="51">
      <c r="A1718" s="6">
        <v>43417.779837962968</v>
      </c>
      <c r="B1718" s="7" t="str">
        <f>HYPERLINK("https://twitter.com/Cmr1899","@Cmr1899")</f>
        <v>@Cmr1899</v>
      </c>
      <c r="C1718" s="8" t="s">
        <v>5330</v>
      </c>
      <c r="D1718" s="9" t="s">
        <v>5331</v>
      </c>
      <c r="E1718" s="10" t="str">
        <f>HYPERLINK("https://twitter.com/Cmr1899/status/1062400440367755267","1062400440367755267")</f>
        <v>1062400440367755267</v>
      </c>
      <c r="F1718" s="12"/>
      <c r="G1718" s="12"/>
      <c r="H1718" s="12"/>
      <c r="I1718" s="13">
        <v>2</v>
      </c>
      <c r="J1718" s="13">
        <v>2</v>
      </c>
      <c r="K1718" s="14" t="str">
        <f t="shared" ref="K1718:K1719" si="494">HYPERLINK("http://twitter.com/download/android","Twitter for Android")</f>
        <v>Twitter for Android</v>
      </c>
      <c r="L1718" s="13">
        <v>3559</v>
      </c>
      <c r="M1718" s="13">
        <v>301</v>
      </c>
      <c r="N1718" s="13">
        <v>26</v>
      </c>
      <c r="O1718" s="15"/>
      <c r="P1718" s="6">
        <v>41551.778090277774</v>
      </c>
      <c r="Q1718" s="12"/>
      <c r="R1718" s="17" t="s">
        <v>5332</v>
      </c>
      <c r="S1718" s="12"/>
      <c r="T1718" s="12"/>
      <c r="U1718" s="10" t="str">
        <f>HYPERLINK("https://pbs.twimg.com/profile_images/1001147746596909056/DziUiLfC.jpg","View")</f>
        <v>View</v>
      </c>
    </row>
    <row r="1719" spans="1:21" ht="40.799999999999997">
      <c r="A1719" s="6">
        <v>43417.77280092593</v>
      </c>
      <c r="B1719" s="7" t="str">
        <f>HYPERLINK("https://twitter.com/angelface999999","@angelface999999")</f>
        <v>@angelface999999</v>
      </c>
      <c r="C1719" s="8" t="s">
        <v>447</v>
      </c>
      <c r="D1719" s="9" t="s">
        <v>5593</v>
      </c>
      <c r="E1719" s="10" t="str">
        <f>HYPERLINK("https://twitter.com/angelface999999/status/1062397893968121857","1062397893968121857")</f>
        <v>1062397893968121857</v>
      </c>
      <c r="F1719" s="11" t="s">
        <v>5594</v>
      </c>
      <c r="G1719" s="12"/>
      <c r="H1719" s="12"/>
      <c r="I1719" s="13">
        <v>0</v>
      </c>
      <c r="J1719" s="13">
        <v>0</v>
      </c>
      <c r="K1719" s="14" t="str">
        <f t="shared" si="494"/>
        <v>Twitter for Android</v>
      </c>
      <c r="L1719" s="13">
        <v>1561</v>
      </c>
      <c r="M1719" s="13">
        <v>1679</v>
      </c>
      <c r="N1719" s="13">
        <v>35</v>
      </c>
      <c r="O1719" s="15"/>
      <c r="P1719" s="6">
        <v>42522.691851851851</v>
      </c>
      <c r="Q1719" s="16" t="s">
        <v>453</v>
      </c>
      <c r="R1719" s="17" t="s">
        <v>454</v>
      </c>
      <c r="S1719" s="12"/>
      <c r="T1719" s="12"/>
      <c r="U1719" s="10" t="str">
        <f>HYPERLINK("https://pbs.twimg.com/profile_images/1013844424114212864/S7s-TEfW.jpg","View")</f>
        <v>View</v>
      </c>
    </row>
    <row r="1720" spans="1:21" ht="81.599999999999994">
      <c r="A1720" s="6">
        <v>43417.77008101852</v>
      </c>
      <c r="B1720" s="7" t="str">
        <f>HYPERLINK("https://twitter.com/JKeylian","@JKeylian")</f>
        <v>@JKeylian</v>
      </c>
      <c r="C1720" s="8" t="s">
        <v>5333</v>
      </c>
      <c r="D1720" s="9" t="s">
        <v>5334</v>
      </c>
      <c r="E1720" s="10" t="str">
        <f>HYPERLINK("https://twitter.com/JKeylian/status/1062396905752289280","1062396905752289280")</f>
        <v>1062396905752289280</v>
      </c>
      <c r="F1720" s="16" t="s">
        <v>5149</v>
      </c>
      <c r="G1720" s="12"/>
      <c r="H1720" s="12"/>
      <c r="I1720" s="13">
        <v>0</v>
      </c>
      <c r="J1720" s="13">
        <v>0</v>
      </c>
      <c r="K1720" s="14" t="str">
        <f t="shared" ref="K1720:K1721" si="495">HYPERLINK("http://twitter.com","Twitter Web Client")</f>
        <v>Twitter Web Client</v>
      </c>
      <c r="L1720" s="13">
        <v>735</v>
      </c>
      <c r="M1720" s="13">
        <v>459</v>
      </c>
      <c r="N1720" s="13">
        <v>5</v>
      </c>
      <c r="O1720" s="15"/>
      <c r="P1720" s="6">
        <v>40778.666018518517</v>
      </c>
      <c r="Q1720" s="16" t="s">
        <v>5335</v>
      </c>
      <c r="R1720" s="17" t="s">
        <v>5336</v>
      </c>
      <c r="S1720" s="12"/>
      <c r="T1720" s="12"/>
      <c r="U1720" s="10" t="str">
        <f>HYPERLINK("https://pbs.twimg.com/profile_images/1039358389317455872/g_kDVhLa.jpg","View")</f>
        <v>View</v>
      </c>
    </row>
    <row r="1721" spans="1:21" ht="51">
      <c r="A1721" s="6">
        <v>43417.767002314809</v>
      </c>
      <c r="B1721" s="7" t="str">
        <f>HYPERLINK("https://twitter.com/MaceirasRam","@MaceirasRam")</f>
        <v>@MaceirasRam</v>
      </c>
      <c r="C1721" s="8" t="s">
        <v>5337</v>
      </c>
      <c r="D1721" s="9" t="s">
        <v>5338</v>
      </c>
      <c r="E1721" s="10" t="str">
        <f>HYPERLINK("https://twitter.com/MaceirasRam/status/1062395789643800576","1062395789643800576")</f>
        <v>1062395789643800576</v>
      </c>
      <c r="F1721" s="12"/>
      <c r="G1721" s="11" t="s">
        <v>5339</v>
      </c>
      <c r="H1721" s="12"/>
      <c r="I1721" s="13">
        <v>0</v>
      </c>
      <c r="J1721" s="13">
        <v>0</v>
      </c>
      <c r="K1721" s="14" t="str">
        <f t="shared" si="495"/>
        <v>Twitter Web Client</v>
      </c>
      <c r="L1721" s="13">
        <v>4447</v>
      </c>
      <c r="M1721" s="13">
        <v>3934</v>
      </c>
      <c r="N1721" s="13">
        <v>66</v>
      </c>
      <c r="O1721" s="15"/>
      <c r="P1721" s="6">
        <v>40808.583622685182</v>
      </c>
      <c r="Q1721" s="16" t="s">
        <v>84</v>
      </c>
      <c r="R1721" s="17" t="s">
        <v>5340</v>
      </c>
      <c r="S1721" s="11" t="s">
        <v>5341</v>
      </c>
      <c r="T1721" s="12"/>
      <c r="U1721" s="10" t="str">
        <f>HYPERLINK("https://pbs.twimg.com/profile_images/1053295170878390272/4HrYTGC5.jpg","View")</f>
        <v>View</v>
      </c>
    </row>
    <row r="1722" spans="1:21" ht="51">
      <c r="A1722" s="6">
        <v>43417.760474537034</v>
      </c>
      <c r="B1722" s="7" t="str">
        <f>HYPERLINK("https://twitter.com/tony73_","@tony73_")</f>
        <v>@tony73_</v>
      </c>
      <c r="C1722" s="8" t="s">
        <v>5342</v>
      </c>
      <c r="D1722" s="9" t="s">
        <v>5343</v>
      </c>
      <c r="E1722" s="10" t="str">
        <f>HYPERLINK("https://twitter.com/tony73_/status/1062393424664559617","1062393424664559617")</f>
        <v>1062393424664559617</v>
      </c>
      <c r="F1722" s="11" t="s">
        <v>5344</v>
      </c>
      <c r="G1722" s="12"/>
      <c r="H1722" s="12"/>
      <c r="I1722" s="13">
        <v>67</v>
      </c>
      <c r="J1722" s="13">
        <v>71</v>
      </c>
      <c r="K1722" s="14" t="str">
        <f>HYPERLINK("http://twitter.com/download/android","Twitter for Android")</f>
        <v>Twitter for Android</v>
      </c>
      <c r="L1722" s="13">
        <v>2547</v>
      </c>
      <c r="M1722" s="13">
        <v>3024</v>
      </c>
      <c r="N1722" s="13">
        <v>10</v>
      </c>
      <c r="O1722" s="15"/>
      <c r="P1722" s="6">
        <v>41086.602673611109</v>
      </c>
      <c r="Q1722" s="12"/>
      <c r="R1722" s="17" t="s">
        <v>5345</v>
      </c>
      <c r="S1722" s="11" t="s">
        <v>5346</v>
      </c>
      <c r="T1722" s="12"/>
      <c r="U1722" s="10" t="str">
        <f>HYPERLINK("https://pbs.twimg.com/profile_images/977238949407154177/zyoFbiNE.jpg","View")</f>
        <v>View</v>
      </c>
    </row>
    <row r="1723" spans="1:21" ht="51">
      <c r="A1723" s="6">
        <v>43417.751388888893</v>
      </c>
      <c r="B1723" s="7" t="str">
        <f t="shared" ref="B1723:B1724" si="496">HYPERLINK("https://twitter.com/bitMomentum","@bitMomentum")</f>
        <v>@bitMomentum</v>
      </c>
      <c r="C1723" s="8" t="s">
        <v>368</v>
      </c>
      <c r="D1723" s="9" t="s">
        <v>5347</v>
      </c>
      <c r="E1723" s="10" t="str">
        <f>HYPERLINK("https://twitter.com/bitMomentum/status/1062390131083100161","1062390131083100161")</f>
        <v>1062390131083100161</v>
      </c>
      <c r="F1723" s="12"/>
      <c r="G1723" s="12"/>
      <c r="H1723" s="12"/>
      <c r="I1723" s="13">
        <v>0</v>
      </c>
      <c r="J1723" s="13">
        <v>0</v>
      </c>
      <c r="K1723" s="14" t="str">
        <f t="shared" ref="K1723:K1724" si="497">HYPERLINK("http://www.bitmomentum.com","bitMomentum Bot")</f>
        <v>bitMomentum Bot</v>
      </c>
      <c r="L1723" s="13">
        <v>10132</v>
      </c>
      <c r="M1723" s="13">
        <v>1060</v>
      </c>
      <c r="N1723" s="13">
        <v>267</v>
      </c>
      <c r="O1723" s="15"/>
      <c r="P1723" s="6">
        <v>41608.667511574073</v>
      </c>
      <c r="Q1723" s="12"/>
      <c r="R1723" s="17" t="s">
        <v>371</v>
      </c>
      <c r="S1723" s="11" t="s">
        <v>372</v>
      </c>
      <c r="T1723" s="12"/>
      <c r="U1723" s="10" t="str">
        <f t="shared" ref="U1723:U1724" si="498">HYPERLINK("https://pbs.twimg.com/profile_images/378800000862185241/20ij2H3u.png","View")</f>
        <v>View</v>
      </c>
    </row>
    <row r="1724" spans="1:21" ht="51">
      <c r="A1724" s="6">
        <v>43417.750694444447</v>
      </c>
      <c r="B1724" s="7" t="str">
        <f t="shared" si="496"/>
        <v>@bitMomentum</v>
      </c>
      <c r="C1724" s="8" t="s">
        <v>368</v>
      </c>
      <c r="D1724" s="9" t="s">
        <v>5348</v>
      </c>
      <c r="E1724" s="10" t="str">
        <f>HYPERLINK("https://twitter.com/bitMomentum/status/1062389879676518400","1062389879676518400")</f>
        <v>1062389879676518400</v>
      </c>
      <c r="F1724" s="12"/>
      <c r="G1724" s="12"/>
      <c r="H1724" s="12"/>
      <c r="I1724" s="13">
        <v>3</v>
      </c>
      <c r="J1724" s="13">
        <v>2</v>
      </c>
      <c r="K1724" s="14" t="str">
        <f t="shared" si="497"/>
        <v>bitMomentum Bot</v>
      </c>
      <c r="L1724" s="13">
        <v>10132</v>
      </c>
      <c r="M1724" s="13">
        <v>1060</v>
      </c>
      <c r="N1724" s="13">
        <v>267</v>
      </c>
      <c r="O1724" s="15"/>
      <c r="P1724" s="6">
        <v>41608.667511574073</v>
      </c>
      <c r="Q1724" s="12"/>
      <c r="R1724" s="17" t="s">
        <v>371</v>
      </c>
      <c r="S1724" s="11" t="s">
        <v>372</v>
      </c>
      <c r="T1724" s="12"/>
      <c r="U1724" s="10" t="str">
        <f t="shared" si="498"/>
        <v>View</v>
      </c>
    </row>
    <row r="1725" spans="1:21" ht="13.2">
      <c r="A1725" s="6">
        <v>43417.748217592598</v>
      </c>
      <c r="B1725" s="7" t="str">
        <f>HYPERLINK("https://twitter.com/putojacktwist","@putojacktwist")</f>
        <v>@putojacktwist</v>
      </c>
      <c r="C1725" s="8" t="s">
        <v>5595</v>
      </c>
      <c r="D1725" s="9" t="s">
        <v>5596</v>
      </c>
      <c r="E1725" s="10" t="str">
        <f>HYPERLINK("https://twitter.com/putojacktwist/status/1062388985253847041","1062388985253847041")</f>
        <v>1062388985253847041</v>
      </c>
      <c r="F1725" s="12"/>
      <c r="G1725" s="12"/>
      <c r="H1725" s="12"/>
      <c r="I1725" s="13">
        <v>0</v>
      </c>
      <c r="J1725" s="13">
        <v>0</v>
      </c>
      <c r="K1725" s="14" t="str">
        <f>HYPERLINK("http://twitter.com/download/iphone","Twitter for iPhone")</f>
        <v>Twitter for iPhone</v>
      </c>
      <c r="L1725" s="13">
        <v>40</v>
      </c>
      <c r="M1725" s="13">
        <v>112</v>
      </c>
      <c r="N1725" s="13">
        <v>0</v>
      </c>
      <c r="O1725" s="15"/>
      <c r="P1725" s="6">
        <v>42455.777754629627</v>
      </c>
      <c r="Q1725" s="12"/>
      <c r="R1725" s="21"/>
      <c r="S1725" s="12"/>
      <c r="T1725" s="12"/>
      <c r="U1725" s="10" t="str">
        <f>HYPERLINK("https://pbs.twimg.com/profile_images/1051612627766575106/bykOuw4N.jpg","View")</f>
        <v>View</v>
      </c>
    </row>
    <row r="1726" spans="1:21" ht="30.6">
      <c r="A1726" s="6">
        <v>43417.740439814814</v>
      </c>
      <c r="B1726" s="7" t="str">
        <f>HYPERLINK("https://twitter.com/Klubslang","@Klubslang")</f>
        <v>@Klubslang</v>
      </c>
      <c r="C1726" s="8" t="s">
        <v>5597</v>
      </c>
      <c r="D1726" s="9" t="s">
        <v>5598</v>
      </c>
      <c r="E1726" s="10" t="str">
        <f>HYPERLINK("https://twitter.com/Klubslang/status/1062386164508827648","1062386164508827648")</f>
        <v>1062386164508827648</v>
      </c>
      <c r="F1726" s="12"/>
      <c r="G1726" s="12"/>
      <c r="H1726" s="12"/>
      <c r="I1726" s="13">
        <v>0</v>
      </c>
      <c r="J1726" s="13">
        <v>0</v>
      </c>
      <c r="K1726" s="14" t="str">
        <f>HYPERLINK("http://twitter.com/download/android","Twitter for Android")</f>
        <v>Twitter for Android</v>
      </c>
      <c r="L1726" s="13">
        <v>911</v>
      </c>
      <c r="M1726" s="13">
        <v>889</v>
      </c>
      <c r="N1726" s="13">
        <v>11</v>
      </c>
      <c r="O1726" s="15"/>
      <c r="P1726" s="6">
        <v>40330.95584490741</v>
      </c>
      <c r="Q1726" s="16" t="s">
        <v>5599</v>
      </c>
      <c r="R1726" s="17" t="s">
        <v>5600</v>
      </c>
      <c r="S1726" s="11" t="s">
        <v>5601</v>
      </c>
      <c r="T1726" s="12"/>
      <c r="U1726" s="10" t="str">
        <f>HYPERLINK("https://pbs.twimg.com/profile_images/1015765468307697665/wMCYntwF.jpg","View")</f>
        <v>View</v>
      </c>
    </row>
    <row r="1727" spans="1:21" ht="61.2">
      <c r="A1727" s="6">
        <v>43417.729780092588</v>
      </c>
      <c r="B1727" s="7" t="str">
        <f>HYPERLINK("https://twitter.com/vox_es","@vox_es")</f>
        <v>@vox_es</v>
      </c>
      <c r="C1727" s="8" t="s">
        <v>689</v>
      </c>
      <c r="D1727" s="9" t="s">
        <v>5349</v>
      </c>
      <c r="E1727" s="10" t="str">
        <f>HYPERLINK("https://twitter.com/vox_es/status/1062382301252857856","1062382301252857856")</f>
        <v>1062382301252857856</v>
      </c>
      <c r="F1727" s="12"/>
      <c r="G1727" s="11" t="s">
        <v>5350</v>
      </c>
      <c r="H1727" s="12"/>
      <c r="I1727" s="13">
        <v>310</v>
      </c>
      <c r="J1727" s="13">
        <v>447</v>
      </c>
      <c r="K1727" s="14" t="str">
        <f>HYPERLINK("http://twitter.com","Twitter Web Client")</f>
        <v>Twitter Web Client</v>
      </c>
      <c r="L1727" s="13">
        <v>122548</v>
      </c>
      <c r="M1727" s="13">
        <v>915</v>
      </c>
      <c r="N1727" s="13">
        <v>919</v>
      </c>
      <c r="O1727" s="23" t="s">
        <v>186</v>
      </c>
      <c r="P1727" s="6">
        <v>41596.746655092589</v>
      </c>
      <c r="Q1727" s="12"/>
      <c r="R1727" s="17" t="s">
        <v>694</v>
      </c>
      <c r="S1727" s="11" t="s">
        <v>187</v>
      </c>
      <c r="T1727" s="12"/>
      <c r="U1727" s="10" t="str">
        <f>HYPERLINK("https://pbs.twimg.com/profile_images/1016653788617363456/m3b3jqW5.jpg","View")</f>
        <v>View</v>
      </c>
    </row>
    <row r="1728" spans="1:21" ht="30.6">
      <c r="A1728" s="6">
        <v>43417.726354166662</v>
      </c>
      <c r="B1728" s="7" t="str">
        <f>HYPERLINK("https://twitter.com/Santi_ABASCAL","@Santi_ABASCAL")</f>
        <v>@Santi_ABASCAL</v>
      </c>
      <c r="C1728" s="8" t="s">
        <v>182</v>
      </c>
      <c r="D1728" s="9" t="s">
        <v>5602</v>
      </c>
      <c r="E1728" s="10" t="str">
        <f>HYPERLINK("https://twitter.com/Santi_ABASCAL/status/1062381062293049345","1062381062293049345")</f>
        <v>1062381062293049345</v>
      </c>
      <c r="F1728" s="12"/>
      <c r="G1728" s="11" t="s">
        <v>5603</v>
      </c>
      <c r="H1728" s="12"/>
      <c r="I1728" s="13">
        <v>425</v>
      </c>
      <c r="J1728" s="13">
        <v>723</v>
      </c>
      <c r="K1728" s="14" t="str">
        <f t="shared" ref="K1728:K1729" si="499">HYPERLINK("http://twitter.com/download/android","Twitter for Android")</f>
        <v>Twitter for Android</v>
      </c>
      <c r="L1728" s="13">
        <v>117602</v>
      </c>
      <c r="M1728" s="13">
        <v>3896</v>
      </c>
      <c r="N1728" s="13">
        <v>915</v>
      </c>
      <c r="O1728" s="23" t="s">
        <v>186</v>
      </c>
      <c r="P1728" s="6">
        <v>40606.716446759259</v>
      </c>
      <c r="Q1728" s="16" t="s">
        <v>188</v>
      </c>
      <c r="R1728" s="17" t="s">
        <v>189</v>
      </c>
      <c r="S1728" s="11" t="s">
        <v>190</v>
      </c>
      <c r="T1728" s="12"/>
      <c r="U1728" s="10" t="str">
        <f>HYPERLINK("https://pbs.twimg.com/profile_images/1010488787686879232/2CnqYKlD.jpg","View")</f>
        <v>View</v>
      </c>
    </row>
    <row r="1729" spans="1:21" ht="30.6">
      <c r="A1729" s="6">
        <v>43417.725648148145</v>
      </c>
      <c r="B1729" s="7" t="str">
        <f>HYPERLINK("https://twitter.com/MARIAJ_SALADO","@MARIAJ_SALADO")</f>
        <v>@MARIAJ_SALADO</v>
      </c>
      <c r="C1729" s="8" t="s">
        <v>5604</v>
      </c>
      <c r="D1729" s="9" t="s">
        <v>5605</v>
      </c>
      <c r="E1729" s="10" t="str">
        <f>HYPERLINK("https://twitter.com/MARIAJ_SALADO/status/1062380805752791040","1062380805752791040")</f>
        <v>1062380805752791040</v>
      </c>
      <c r="F1729" s="11" t="s">
        <v>5606</v>
      </c>
      <c r="G1729" s="12"/>
      <c r="H1729" s="12"/>
      <c r="I1729" s="13">
        <v>0</v>
      </c>
      <c r="J1729" s="13">
        <v>0</v>
      </c>
      <c r="K1729" s="14" t="str">
        <f t="shared" si="499"/>
        <v>Twitter for Android</v>
      </c>
      <c r="L1729" s="13">
        <v>6906</v>
      </c>
      <c r="M1729" s="13">
        <v>3086</v>
      </c>
      <c r="N1729" s="13">
        <v>83</v>
      </c>
      <c r="O1729" s="15"/>
      <c r="P1729" s="6">
        <v>40721.614363425928</v>
      </c>
      <c r="Q1729" s="16" t="s">
        <v>5607</v>
      </c>
      <c r="R1729" s="17" t="s">
        <v>5608</v>
      </c>
      <c r="S1729" s="12"/>
      <c r="T1729" s="12"/>
      <c r="U1729" s="10" t="str">
        <f>HYPERLINK("https://pbs.twimg.com/profile_images/1001117315566637056/7n7Si_YN.jpg","View")</f>
        <v>View</v>
      </c>
    </row>
    <row r="1730" spans="1:21" ht="51">
      <c r="A1730" s="6">
        <v>43417.721354166672</v>
      </c>
      <c r="B1730" s="7" t="str">
        <f>HYPERLINK("https://twitter.com/diariobalear_es","@diariobalear_es")</f>
        <v>@diariobalear_es</v>
      </c>
      <c r="C1730" s="8" t="s">
        <v>672</v>
      </c>
      <c r="D1730" s="9" t="s">
        <v>5351</v>
      </c>
      <c r="E1730" s="10" t="str">
        <f>HYPERLINK("https://twitter.com/diariobalear_es/status/1062379247858257920","1062379247858257920")</f>
        <v>1062379247858257920</v>
      </c>
      <c r="F1730" s="11" t="s">
        <v>5352</v>
      </c>
      <c r="G1730" s="12"/>
      <c r="H1730" s="12"/>
      <c r="I1730" s="13">
        <v>20</v>
      </c>
      <c r="J1730" s="13">
        <v>26</v>
      </c>
      <c r="K1730" s="14" t="str">
        <f>HYPERLINK("http://twitter.com","Twitter Web Client")</f>
        <v>Twitter Web Client</v>
      </c>
      <c r="L1730" s="13">
        <v>3196</v>
      </c>
      <c r="M1730" s="13">
        <v>347</v>
      </c>
      <c r="N1730" s="13">
        <v>71</v>
      </c>
      <c r="O1730" s="15"/>
      <c r="P1730" s="6">
        <v>41694.754687499997</v>
      </c>
      <c r="Q1730" s="16" t="s">
        <v>675</v>
      </c>
      <c r="R1730" s="17" t="s">
        <v>676</v>
      </c>
      <c r="S1730" s="11" t="s">
        <v>677</v>
      </c>
      <c r="T1730" s="12"/>
      <c r="U1730" s="10" t="str">
        <f>HYPERLINK("https://pbs.twimg.com/profile_images/992417277797597184/28OVRjFF.jpg","View")</f>
        <v>View</v>
      </c>
    </row>
    <row r="1731" spans="1:21" ht="30.6">
      <c r="A1731" s="6">
        <v>43417.716666666667</v>
      </c>
      <c r="B1731" s="7" t="str">
        <f>HYPERLINK("https://twitter.com/ElHuffPost","@ElHuffPost")</f>
        <v>@ElHuffPost</v>
      </c>
      <c r="C1731" s="8" t="s">
        <v>5609</v>
      </c>
      <c r="D1731" s="9" t="s">
        <v>5605</v>
      </c>
      <c r="E1731" s="10" t="str">
        <f>HYPERLINK("https://twitter.com/ElHuffPost/status/1062377549295206401","1062377549295206401")</f>
        <v>1062377549295206401</v>
      </c>
      <c r="F1731" s="11" t="s">
        <v>5606</v>
      </c>
      <c r="G1731" s="12"/>
      <c r="H1731" s="12"/>
      <c r="I1731" s="13">
        <v>1</v>
      </c>
      <c r="J1731" s="13">
        <v>1</v>
      </c>
      <c r="K1731" s="14" t="str">
        <f>HYPERLINK("https://about.twitter.com/products/tweetdeck","TweetDeck")</f>
        <v>TweetDeck</v>
      </c>
      <c r="L1731" s="13">
        <v>430323</v>
      </c>
      <c r="M1731" s="13">
        <v>1532</v>
      </c>
      <c r="N1731" s="13">
        <v>8188</v>
      </c>
      <c r="O1731" s="23" t="s">
        <v>186</v>
      </c>
      <c r="P1731" s="6">
        <v>40785.027118055557</v>
      </c>
      <c r="Q1731" s="16" t="s">
        <v>3282</v>
      </c>
      <c r="R1731" s="17" t="s">
        <v>5610</v>
      </c>
      <c r="S1731" s="11" t="s">
        <v>5611</v>
      </c>
      <c r="T1731" s="12"/>
      <c r="U1731" s="10" t="str">
        <f>HYPERLINK("https://pbs.twimg.com/profile_images/921140803422089217/ETOEUOAx.jpg","View")</f>
        <v>View</v>
      </c>
    </row>
    <row r="1732" spans="1:21" ht="51">
      <c r="A1732" s="6">
        <v>43417.713495370372</v>
      </c>
      <c r="B1732" s="7" t="str">
        <f>HYPERLINK("https://twitter.com/Escapadasss","@Escapadasss")</f>
        <v>@Escapadasss</v>
      </c>
      <c r="C1732" s="8" t="s">
        <v>4922</v>
      </c>
      <c r="D1732" s="9" t="s">
        <v>5353</v>
      </c>
      <c r="E1732" s="10" t="str">
        <f>HYPERLINK("https://twitter.com/Escapadasss/status/1062376399816810496","1062376399816810496")</f>
        <v>1062376399816810496</v>
      </c>
      <c r="F1732" s="16" t="s">
        <v>5354</v>
      </c>
      <c r="G1732" s="12"/>
      <c r="H1732" s="12"/>
      <c r="I1732" s="13">
        <v>1</v>
      </c>
      <c r="J1732" s="13">
        <v>1</v>
      </c>
      <c r="K1732" s="14" t="str">
        <f>HYPERLINK("http://twitter.com/download/android","Twitter for Android")</f>
        <v>Twitter for Android</v>
      </c>
      <c r="L1732" s="13">
        <v>155</v>
      </c>
      <c r="M1732" s="13">
        <v>305</v>
      </c>
      <c r="N1732" s="13">
        <v>1</v>
      </c>
      <c r="O1732" s="15"/>
      <c r="P1732" s="6">
        <v>43160.846909722226</v>
      </c>
      <c r="Q1732" s="12"/>
      <c r="R1732" s="17" t="s">
        <v>4925</v>
      </c>
      <c r="S1732" s="12"/>
      <c r="T1732" s="12"/>
      <c r="U1732" s="10" t="str">
        <f>HYPERLINK("https://pbs.twimg.com/profile_images/1042879281947463680/YCkqA0tU.jpg","View")</f>
        <v>View</v>
      </c>
    </row>
    <row r="1733" spans="1:21" ht="51">
      <c r="A1733" s="6">
        <v>43417.709722222222</v>
      </c>
      <c r="B1733" s="7" t="str">
        <f t="shared" ref="B1733:B1734" si="500">HYPERLINK("https://twitter.com/bitMomentum","@bitMomentum")</f>
        <v>@bitMomentum</v>
      </c>
      <c r="C1733" s="8" t="s">
        <v>368</v>
      </c>
      <c r="D1733" s="9" t="s">
        <v>5355</v>
      </c>
      <c r="E1733" s="10" t="str">
        <f>HYPERLINK("https://twitter.com/bitMomentum/status/1062375031710326784","1062375031710326784")</f>
        <v>1062375031710326784</v>
      </c>
      <c r="F1733" s="12"/>
      <c r="G1733" s="12"/>
      <c r="H1733" s="12"/>
      <c r="I1733" s="13">
        <v>0</v>
      </c>
      <c r="J1733" s="13">
        <v>0</v>
      </c>
      <c r="K1733" s="14" t="str">
        <f t="shared" ref="K1733:K1734" si="501">HYPERLINK("http://www.bitmomentum.com","bitMomentum Bot")</f>
        <v>bitMomentum Bot</v>
      </c>
      <c r="L1733" s="13">
        <v>10132</v>
      </c>
      <c r="M1733" s="13">
        <v>1060</v>
      </c>
      <c r="N1733" s="13">
        <v>267</v>
      </c>
      <c r="O1733" s="15"/>
      <c r="P1733" s="6">
        <v>41608.667511574073</v>
      </c>
      <c r="Q1733" s="12"/>
      <c r="R1733" s="17" t="s">
        <v>371</v>
      </c>
      <c r="S1733" s="11" t="s">
        <v>372</v>
      </c>
      <c r="T1733" s="12"/>
      <c r="U1733" s="10" t="str">
        <f t="shared" ref="U1733:U1734" si="502">HYPERLINK("https://pbs.twimg.com/profile_images/378800000862185241/20ij2H3u.png","View")</f>
        <v>View</v>
      </c>
    </row>
    <row r="1734" spans="1:21" ht="51">
      <c r="A1734" s="6">
        <v>43417.709027777775</v>
      </c>
      <c r="B1734" s="7" t="str">
        <f t="shared" si="500"/>
        <v>@bitMomentum</v>
      </c>
      <c r="C1734" s="8" t="s">
        <v>368</v>
      </c>
      <c r="D1734" s="9" t="s">
        <v>5356</v>
      </c>
      <c r="E1734" s="10" t="str">
        <f>HYPERLINK("https://twitter.com/bitMomentum/status/1062374780026978304","1062374780026978304")</f>
        <v>1062374780026978304</v>
      </c>
      <c r="F1734" s="12"/>
      <c r="G1734" s="12"/>
      <c r="H1734" s="12"/>
      <c r="I1734" s="13">
        <v>0</v>
      </c>
      <c r="J1734" s="13">
        <v>0</v>
      </c>
      <c r="K1734" s="14" t="str">
        <f t="shared" si="501"/>
        <v>bitMomentum Bot</v>
      </c>
      <c r="L1734" s="13">
        <v>10132</v>
      </c>
      <c r="M1734" s="13">
        <v>1060</v>
      </c>
      <c r="N1734" s="13">
        <v>267</v>
      </c>
      <c r="O1734" s="15"/>
      <c r="P1734" s="6">
        <v>41608.667511574073</v>
      </c>
      <c r="Q1734" s="12"/>
      <c r="R1734" s="17" t="s">
        <v>371</v>
      </c>
      <c r="S1734" s="11" t="s">
        <v>372</v>
      </c>
      <c r="T1734" s="12"/>
      <c r="U1734" s="10" t="str">
        <f t="shared" si="502"/>
        <v>View</v>
      </c>
    </row>
    <row r="1735" spans="1:21" ht="51">
      <c r="A1735" s="6">
        <v>43417.700115740736</v>
      </c>
      <c r="B1735" s="7" t="str">
        <f>HYPERLINK("https://twitter.com/diariobalear_es","@diariobalear_es")</f>
        <v>@diariobalear_es</v>
      </c>
      <c r="C1735" s="8" t="s">
        <v>672</v>
      </c>
      <c r="D1735" s="9" t="s">
        <v>5357</v>
      </c>
      <c r="E1735" s="10" t="str">
        <f>HYPERLINK("https://twitter.com/diariobalear_es/status/1062371551163674625","1062371551163674625")</f>
        <v>1062371551163674625</v>
      </c>
      <c r="F1735" s="11" t="s">
        <v>5358</v>
      </c>
      <c r="G1735" s="12"/>
      <c r="H1735" s="12"/>
      <c r="I1735" s="13">
        <v>36</v>
      </c>
      <c r="J1735" s="13">
        <v>37</v>
      </c>
      <c r="K1735" s="14" t="str">
        <f t="shared" ref="K1735:K1736" si="503">HYPERLINK("http://twitter.com","Twitter Web Client")</f>
        <v>Twitter Web Client</v>
      </c>
      <c r="L1735" s="13">
        <v>3196</v>
      </c>
      <c r="M1735" s="13">
        <v>347</v>
      </c>
      <c r="N1735" s="13">
        <v>71</v>
      </c>
      <c r="O1735" s="15"/>
      <c r="P1735" s="6">
        <v>41694.754687499997</v>
      </c>
      <c r="Q1735" s="16" t="s">
        <v>675</v>
      </c>
      <c r="R1735" s="17" t="s">
        <v>676</v>
      </c>
      <c r="S1735" s="11" t="s">
        <v>677</v>
      </c>
      <c r="T1735" s="12"/>
      <c r="U1735" s="10" t="str">
        <f>HYPERLINK("https://pbs.twimg.com/profile_images/992417277797597184/28OVRjFF.jpg","View")</f>
        <v>View</v>
      </c>
    </row>
    <row r="1736" spans="1:21" ht="71.400000000000006">
      <c r="A1736" s="6">
        <v>43417.699247685188</v>
      </c>
      <c r="B1736" s="7" t="str">
        <f>HYPERLINK("https://twitter.com/L0nelyW0lf70","@L0nelyW0lf70")</f>
        <v>@L0nelyW0lf70</v>
      </c>
      <c r="C1736" s="24" t="s">
        <v>5359</v>
      </c>
      <c r="D1736" s="9" t="s">
        <v>5360</v>
      </c>
      <c r="E1736" s="10" t="str">
        <f>HYPERLINK("https://twitter.com/L0nelyW0lf70/status/1062371237513621504","1062371237513621504")</f>
        <v>1062371237513621504</v>
      </c>
      <c r="F1736" s="16" t="s">
        <v>5149</v>
      </c>
      <c r="G1736" s="12"/>
      <c r="H1736" s="12"/>
      <c r="I1736" s="13">
        <v>0</v>
      </c>
      <c r="J1736" s="13">
        <v>0</v>
      </c>
      <c r="K1736" s="14" t="str">
        <f t="shared" si="503"/>
        <v>Twitter Web Client</v>
      </c>
      <c r="L1736" s="13">
        <v>585</v>
      </c>
      <c r="M1736" s="13">
        <v>826</v>
      </c>
      <c r="N1736" s="13">
        <v>2</v>
      </c>
      <c r="O1736" s="15"/>
      <c r="P1736" s="6">
        <v>43335.887094907404</v>
      </c>
      <c r="Q1736" s="16" t="s">
        <v>5361</v>
      </c>
      <c r="R1736" s="17" t="s">
        <v>5362</v>
      </c>
      <c r="S1736" s="12"/>
      <c r="T1736" s="12"/>
      <c r="U1736" s="10" t="str">
        <f>HYPERLINK("https://pbs.twimg.com/profile_images/1064985337334820864/iiUUOb8p.jpg","View")</f>
        <v>View</v>
      </c>
    </row>
    <row r="1737" spans="1:21" ht="61.2">
      <c r="A1737" s="6">
        <v>43417.698645833334</v>
      </c>
      <c r="B1737" s="7" t="str">
        <f>HYPERLINK("https://twitter.com/seby_perez","@seby_perez")</f>
        <v>@seby_perez</v>
      </c>
      <c r="C1737" s="8" t="s">
        <v>5364</v>
      </c>
      <c r="D1737" s="9" t="s">
        <v>5365</v>
      </c>
      <c r="E1737" s="10" t="str">
        <f>HYPERLINK("https://twitter.com/seby_perez/status/1062371020995289088","1062371020995289088")</f>
        <v>1062371020995289088</v>
      </c>
      <c r="F1737" s="16" t="s">
        <v>5366</v>
      </c>
      <c r="G1737" s="12"/>
      <c r="H1737" s="12"/>
      <c r="I1737" s="13">
        <v>0</v>
      </c>
      <c r="J1737" s="13">
        <v>0</v>
      </c>
      <c r="K1737" s="14" t="str">
        <f>HYPERLINK("https://mobile.twitter.com","Twitter Lite")</f>
        <v>Twitter Lite</v>
      </c>
      <c r="L1737" s="13">
        <v>1547</v>
      </c>
      <c r="M1737" s="13">
        <v>1547</v>
      </c>
      <c r="N1737" s="13">
        <v>5</v>
      </c>
      <c r="O1737" s="15"/>
      <c r="P1737" s="6">
        <v>41914.773379629631</v>
      </c>
      <c r="Q1737" s="16" t="s">
        <v>66</v>
      </c>
      <c r="R1737" s="17" t="s">
        <v>953</v>
      </c>
      <c r="S1737" s="12"/>
      <c r="T1737" s="12"/>
      <c r="U1737" s="10" t="str">
        <f>HYPERLINK("https://pbs.twimg.com/profile_images/863164490023620614/zY3B6MgR.jpg","View")</f>
        <v>View</v>
      </c>
    </row>
    <row r="1738" spans="1:21" ht="81.599999999999994">
      <c r="A1738" s="6">
        <v>43417.697881944448</v>
      </c>
      <c r="B1738" s="7" t="str">
        <f>HYPERLINK("https://twitter.com/Santi_ABASCAL","@Santi_ABASCAL")</f>
        <v>@Santi_ABASCAL</v>
      </c>
      <c r="C1738" s="8" t="s">
        <v>182</v>
      </c>
      <c r="D1738" s="9" t="s">
        <v>5612</v>
      </c>
      <c r="E1738" s="10" t="str">
        <f>HYPERLINK("https://twitter.com/Santi_ABASCAL/status/1062370743944732672","1062370743944732672")</f>
        <v>1062370743944732672</v>
      </c>
      <c r="F1738" s="16" t="s">
        <v>5366</v>
      </c>
      <c r="G1738" s="12"/>
      <c r="H1738" s="12"/>
      <c r="I1738" s="13">
        <v>3908</v>
      </c>
      <c r="J1738" s="13">
        <v>8690</v>
      </c>
      <c r="K1738" s="14" t="str">
        <f t="shared" ref="K1738:K1740" si="504">HYPERLINK("http://twitter.com/download/android","Twitter for Android")</f>
        <v>Twitter for Android</v>
      </c>
      <c r="L1738" s="13">
        <v>117602</v>
      </c>
      <c r="M1738" s="13">
        <v>3896</v>
      </c>
      <c r="N1738" s="13">
        <v>915</v>
      </c>
      <c r="O1738" s="23" t="s">
        <v>186</v>
      </c>
      <c r="P1738" s="6">
        <v>40606.716446759259</v>
      </c>
      <c r="Q1738" s="16" t="s">
        <v>188</v>
      </c>
      <c r="R1738" s="17" t="s">
        <v>189</v>
      </c>
      <c r="S1738" s="11" t="s">
        <v>190</v>
      </c>
      <c r="T1738" s="12"/>
      <c r="U1738" s="10" t="str">
        <f>HYPERLINK("https://pbs.twimg.com/profile_images/1010488787686879232/2CnqYKlD.jpg","View")</f>
        <v>View</v>
      </c>
    </row>
    <row r="1739" spans="1:21" ht="40.799999999999997">
      <c r="A1739" s="6">
        <v>43417.696111111116</v>
      </c>
      <c r="B1739" s="7" t="str">
        <f>HYPERLINK("https://twitter.com/Maria_Beatle","@Maria_Beatle")</f>
        <v>@Maria_Beatle</v>
      </c>
      <c r="C1739" s="8" t="s">
        <v>4148</v>
      </c>
      <c r="D1739" s="9" t="s">
        <v>5367</v>
      </c>
      <c r="E1739" s="10" t="str">
        <f>HYPERLINK("https://twitter.com/Maria_Beatle/status/1062370098919424000","1062370098919424000")</f>
        <v>1062370098919424000</v>
      </c>
      <c r="F1739" s="12"/>
      <c r="G1739" s="12"/>
      <c r="H1739" s="12"/>
      <c r="I1739" s="13">
        <v>5</v>
      </c>
      <c r="J1739" s="13">
        <v>6</v>
      </c>
      <c r="K1739" s="14" t="str">
        <f t="shared" si="504"/>
        <v>Twitter for Android</v>
      </c>
      <c r="L1739" s="13">
        <v>5415</v>
      </c>
      <c r="M1739" s="13">
        <v>4426</v>
      </c>
      <c r="N1739" s="13">
        <v>35</v>
      </c>
      <c r="O1739" s="15"/>
      <c r="P1739" s="6">
        <v>40968.767581018517</v>
      </c>
      <c r="Q1739" s="16" t="s">
        <v>4150</v>
      </c>
      <c r="R1739" s="17" t="s">
        <v>4151</v>
      </c>
      <c r="S1739" s="11" t="s">
        <v>4153</v>
      </c>
      <c r="T1739" s="12"/>
      <c r="U1739" s="10" t="str">
        <f>HYPERLINK("https://pbs.twimg.com/profile_images/1062907747086278656/c69h9LcR.jpg","View")</f>
        <v>View</v>
      </c>
    </row>
    <row r="1740" spans="1:21" ht="61.2">
      <c r="A1740" s="6">
        <v>43417.695</v>
      </c>
      <c r="B1740" s="7" t="str">
        <f>HYPERLINK("https://twitter.com/UlisesGamez10","@UlisesGamez10")</f>
        <v>@UlisesGamez10</v>
      </c>
      <c r="C1740" s="8" t="s">
        <v>23</v>
      </c>
      <c r="D1740" s="9" t="s">
        <v>5368</v>
      </c>
      <c r="E1740" s="10" t="str">
        <f>HYPERLINK("https://twitter.com/UlisesGamez10/status/1062369699298717696","1062369699298717696")</f>
        <v>1062369699298717696</v>
      </c>
      <c r="F1740" s="16" t="s">
        <v>5369</v>
      </c>
      <c r="G1740" s="12"/>
      <c r="H1740" s="12"/>
      <c r="I1740" s="13">
        <v>0</v>
      </c>
      <c r="J1740" s="13">
        <v>2</v>
      </c>
      <c r="K1740" s="14" t="str">
        <f t="shared" si="504"/>
        <v>Twitter for Android</v>
      </c>
      <c r="L1740" s="13">
        <v>1162</v>
      </c>
      <c r="M1740" s="13">
        <v>5000</v>
      </c>
      <c r="N1740" s="13">
        <v>0</v>
      </c>
      <c r="O1740" s="15"/>
      <c r="P1740" s="6">
        <v>43190.59783564815</v>
      </c>
      <c r="Q1740" s="16" t="s">
        <v>25</v>
      </c>
      <c r="R1740" s="17" t="s">
        <v>27</v>
      </c>
      <c r="S1740" s="12"/>
      <c r="T1740" s="12"/>
      <c r="U1740" s="10" t="str">
        <f>HYPERLINK("https://pbs.twimg.com/profile_images/1031158722586980352/ItGPtjBj.jpg","View")</f>
        <v>View</v>
      </c>
    </row>
    <row r="1741" spans="1:21" ht="91.8">
      <c r="A1741" s="6">
        <v>43417.69195601852</v>
      </c>
      <c r="B1741" s="7" t="str">
        <f>HYPERLINK("https://twitter.com/PETERPANMURCIA","@PETERPANMURCIA")</f>
        <v>@PETERPANMURCIA</v>
      </c>
      <c r="C1741" s="8" t="s">
        <v>5370</v>
      </c>
      <c r="D1741" s="9" t="s">
        <v>5371</v>
      </c>
      <c r="E1741" s="10" t="str">
        <f>HYPERLINK("https://twitter.com/PETERPANMURCIA/status/1062368595060043776","1062368595060043776")</f>
        <v>1062368595060043776</v>
      </c>
      <c r="F1741" s="16" t="s">
        <v>5372</v>
      </c>
      <c r="G1741" s="12"/>
      <c r="H1741" s="12"/>
      <c r="I1741" s="13">
        <v>5</v>
      </c>
      <c r="J1741" s="13">
        <v>3</v>
      </c>
      <c r="K1741" s="14" t="str">
        <f>HYPERLINK("http://twitter.com/download/iphone","Twitter for iPhone")</f>
        <v>Twitter for iPhone</v>
      </c>
      <c r="L1741" s="13">
        <v>109</v>
      </c>
      <c r="M1741" s="13">
        <v>183</v>
      </c>
      <c r="N1741" s="13">
        <v>0</v>
      </c>
      <c r="O1741" s="15"/>
      <c r="P1741" s="6">
        <v>42863.828472222223</v>
      </c>
      <c r="Q1741" s="16" t="s">
        <v>5373</v>
      </c>
      <c r="R1741" s="21"/>
      <c r="S1741" s="12"/>
      <c r="T1741" s="12"/>
      <c r="U1741" s="10" t="str">
        <f>HYPERLINK("https://pbs.twimg.com/profile_images/861641909483294721/gNIMp2zL.jpg","View")</f>
        <v>View</v>
      </c>
    </row>
    <row r="1742" spans="1:21" ht="51">
      <c r="A1742" s="6">
        <v>43417.690613425926</v>
      </c>
      <c r="B1742" s="7" t="str">
        <f>HYPERLINK("https://twitter.com/Vox_Antequera","@Vox_Antequera")</f>
        <v>@Vox_Antequera</v>
      </c>
      <c r="C1742" s="8" t="s">
        <v>2751</v>
      </c>
      <c r="D1742" s="9" t="s">
        <v>5374</v>
      </c>
      <c r="E1742" s="10" t="str">
        <f>HYPERLINK("https://twitter.com/Vox_Antequera/status/1062368106880925696","1062368106880925696")</f>
        <v>1062368106880925696</v>
      </c>
      <c r="F1742" s="12"/>
      <c r="G1742" s="11" t="s">
        <v>5375</v>
      </c>
      <c r="H1742" s="12"/>
      <c r="I1742" s="13">
        <v>16</v>
      </c>
      <c r="J1742" s="13">
        <v>17</v>
      </c>
      <c r="K1742" s="14" t="str">
        <f t="shared" ref="K1742:K1746" si="505">HYPERLINK("http://twitter.com/download/android","Twitter for Android")</f>
        <v>Twitter for Android</v>
      </c>
      <c r="L1742" s="13">
        <v>845</v>
      </c>
      <c r="M1742" s="13">
        <v>874</v>
      </c>
      <c r="N1742" s="13">
        <v>3</v>
      </c>
      <c r="O1742" s="15"/>
      <c r="P1742" s="6">
        <v>42980.572222222225</v>
      </c>
      <c r="Q1742" s="16" t="s">
        <v>2754</v>
      </c>
      <c r="R1742" s="17" t="s">
        <v>2755</v>
      </c>
      <c r="S1742" s="11" t="s">
        <v>187</v>
      </c>
      <c r="T1742" s="12"/>
      <c r="U1742" s="10" t="str">
        <f>HYPERLINK("https://pbs.twimg.com/profile_images/1055358681993359360/RPsDv0c5.jpg","View")</f>
        <v>View</v>
      </c>
    </row>
    <row r="1743" spans="1:21" ht="51">
      <c r="A1743" s="6">
        <v>43417.687199074076</v>
      </c>
      <c r="B1743" s="7" t="str">
        <f>HYPERLINK("https://twitter.com/Brian_Castro_","@Brian_Castro_")</f>
        <v>@Brian_Castro_</v>
      </c>
      <c r="C1743" s="8" t="s">
        <v>1827</v>
      </c>
      <c r="D1743" s="9" t="s">
        <v>5376</v>
      </c>
      <c r="E1743" s="10" t="str">
        <f>HYPERLINK("https://twitter.com/Brian_Castro_/status/1062366872736272384","1062366872736272384")</f>
        <v>1062366872736272384</v>
      </c>
      <c r="F1743" s="12"/>
      <c r="G1743" s="12"/>
      <c r="H1743" s="12"/>
      <c r="I1743" s="13">
        <v>1</v>
      </c>
      <c r="J1743" s="13">
        <v>7</v>
      </c>
      <c r="K1743" s="14" t="str">
        <f t="shared" si="505"/>
        <v>Twitter for Android</v>
      </c>
      <c r="L1743" s="13">
        <v>1042</v>
      </c>
      <c r="M1743" s="13">
        <v>879</v>
      </c>
      <c r="N1743" s="13">
        <v>8</v>
      </c>
      <c r="O1743" s="15"/>
      <c r="P1743" s="6">
        <v>42219.561944444446</v>
      </c>
      <c r="Q1743" s="16" t="s">
        <v>111</v>
      </c>
      <c r="R1743" s="17" t="s">
        <v>1830</v>
      </c>
      <c r="S1743" s="12"/>
      <c r="T1743" s="12"/>
      <c r="U1743" s="10" t="str">
        <f>HYPERLINK("https://pbs.twimg.com/profile_images/1058731137479200771/IACi52CK.jpg","View")</f>
        <v>View</v>
      </c>
    </row>
    <row r="1744" spans="1:21" ht="61.2">
      <c r="A1744" s="6">
        <v>43417.685995370368</v>
      </c>
      <c r="B1744" s="7" t="str">
        <f>HYPERLINK("https://twitter.com/Jam1Juan","@Jam1Juan")</f>
        <v>@Jam1Juan</v>
      </c>
      <c r="C1744" s="8" t="s">
        <v>241</v>
      </c>
      <c r="D1744" s="9" t="s">
        <v>5377</v>
      </c>
      <c r="E1744" s="10" t="str">
        <f>HYPERLINK("https://twitter.com/Jam1Juan/status/1062366435878559745","1062366435878559745")</f>
        <v>1062366435878559745</v>
      </c>
      <c r="F1744" s="11" t="s">
        <v>5378</v>
      </c>
      <c r="G1744" s="11" t="s">
        <v>5379</v>
      </c>
      <c r="H1744" s="12"/>
      <c r="I1744" s="13">
        <v>2</v>
      </c>
      <c r="J1744" s="13">
        <v>1</v>
      </c>
      <c r="K1744" s="14" t="str">
        <f t="shared" si="505"/>
        <v>Twitter for Android</v>
      </c>
      <c r="L1744" s="13">
        <v>7882</v>
      </c>
      <c r="M1744" s="13">
        <v>6326</v>
      </c>
      <c r="N1744" s="13">
        <v>94</v>
      </c>
      <c r="O1744" s="15"/>
      <c r="P1744" s="6">
        <v>41130.512592592597</v>
      </c>
      <c r="Q1744" s="16" t="s">
        <v>244</v>
      </c>
      <c r="R1744" s="17" t="s">
        <v>245</v>
      </c>
      <c r="S1744" s="12"/>
      <c r="T1744" s="12"/>
      <c r="U1744" s="10" t="str">
        <f>HYPERLINK("https://pbs.twimg.com/profile_images/742352397314314240/2R45Yx63.jpg","View")</f>
        <v>View</v>
      </c>
    </row>
    <row r="1745" spans="1:21" ht="51">
      <c r="A1745" s="6">
        <v>43417.685694444444</v>
      </c>
      <c r="B1745" s="7" t="str">
        <f>HYPERLINK("https://twitter.com/VCartama","@VCartama")</f>
        <v>@VCartama</v>
      </c>
      <c r="C1745" s="8" t="s">
        <v>1386</v>
      </c>
      <c r="D1745" s="9" t="s">
        <v>5380</v>
      </c>
      <c r="E1745" s="10" t="str">
        <f>HYPERLINK("https://twitter.com/VCartama/status/1062366325656481794","1062366325656481794")</f>
        <v>1062366325656481794</v>
      </c>
      <c r="F1745" s="12"/>
      <c r="G1745" s="11" t="s">
        <v>5381</v>
      </c>
      <c r="H1745" s="12"/>
      <c r="I1745" s="13">
        <v>22</v>
      </c>
      <c r="J1745" s="13">
        <v>28</v>
      </c>
      <c r="K1745" s="14" t="str">
        <f t="shared" si="505"/>
        <v>Twitter for Android</v>
      </c>
      <c r="L1745" s="13">
        <v>570</v>
      </c>
      <c r="M1745" s="13">
        <v>550</v>
      </c>
      <c r="N1745" s="13">
        <v>0</v>
      </c>
      <c r="O1745" s="15"/>
      <c r="P1745" s="6">
        <v>43298.439421296294</v>
      </c>
      <c r="Q1745" s="16" t="s">
        <v>1387</v>
      </c>
      <c r="R1745" s="17" t="s">
        <v>1388</v>
      </c>
      <c r="S1745" s="11" t="s">
        <v>187</v>
      </c>
      <c r="T1745" s="12"/>
      <c r="U1745" s="10" t="str">
        <f>HYPERLINK("https://pbs.twimg.com/profile_images/1019190095059046400/fEI3mDvW.jpg","View")</f>
        <v>View</v>
      </c>
    </row>
    <row r="1746" spans="1:21" ht="61.2">
      <c r="A1746" s="6">
        <v>43417.685358796298</v>
      </c>
      <c r="B1746" s="7" t="str">
        <f>HYPERLINK("https://twitter.com/UlisesGamez10","@UlisesGamez10")</f>
        <v>@UlisesGamez10</v>
      </c>
      <c r="C1746" s="8" t="s">
        <v>23</v>
      </c>
      <c r="D1746" s="9" t="s">
        <v>5382</v>
      </c>
      <c r="E1746" s="10" t="str">
        <f>HYPERLINK("https://twitter.com/UlisesGamez10/status/1062366204545978368","1062366204545978368")</f>
        <v>1062366204545978368</v>
      </c>
      <c r="F1746" s="16" t="s">
        <v>5369</v>
      </c>
      <c r="G1746" s="12"/>
      <c r="H1746" s="12"/>
      <c r="I1746" s="13">
        <v>0</v>
      </c>
      <c r="J1746" s="13">
        <v>1</v>
      </c>
      <c r="K1746" s="14" t="str">
        <f t="shared" si="505"/>
        <v>Twitter for Android</v>
      </c>
      <c r="L1746" s="13">
        <v>1162</v>
      </c>
      <c r="M1746" s="13">
        <v>5000</v>
      </c>
      <c r="N1746" s="13">
        <v>0</v>
      </c>
      <c r="O1746" s="15"/>
      <c r="P1746" s="6">
        <v>43190.59783564815</v>
      </c>
      <c r="Q1746" s="16" t="s">
        <v>25</v>
      </c>
      <c r="R1746" s="17" t="s">
        <v>27</v>
      </c>
      <c r="S1746" s="12"/>
      <c r="T1746" s="12"/>
      <c r="U1746" s="10" t="str">
        <f>HYPERLINK("https://pbs.twimg.com/profile_images/1031158722586980352/ItGPtjBj.jpg","View")</f>
        <v>View</v>
      </c>
    </row>
    <row r="1747" spans="1:21" ht="30.6">
      <c r="A1747" s="6">
        <v>43417.683078703703</v>
      </c>
      <c r="B1747" s="7" t="str">
        <f>HYPERLINK("https://twitter.com/Vox_Murcia","@Vox_Murcia")</f>
        <v>@Vox_Murcia</v>
      </c>
      <c r="C1747" s="8" t="s">
        <v>3374</v>
      </c>
      <c r="D1747" s="9" t="s">
        <v>5383</v>
      </c>
      <c r="E1747" s="10" t="str">
        <f>HYPERLINK("https://twitter.com/Vox_Murcia/status/1062365378226069505","1062365378226069505")</f>
        <v>1062365378226069505</v>
      </c>
      <c r="F1747" s="12"/>
      <c r="G1747" s="11" t="s">
        <v>5384</v>
      </c>
      <c r="H1747" s="12"/>
      <c r="I1747" s="13">
        <v>4</v>
      </c>
      <c r="J1747" s="13">
        <v>5</v>
      </c>
      <c r="K1747" s="14" t="str">
        <f>HYPERLINK("http://twitter.com","Twitter Web Client")</f>
        <v>Twitter Web Client</v>
      </c>
      <c r="L1747" s="13">
        <v>3081</v>
      </c>
      <c r="M1747" s="13">
        <v>3585</v>
      </c>
      <c r="N1747" s="13">
        <v>45</v>
      </c>
      <c r="O1747" s="15"/>
      <c r="P1747" s="6">
        <v>41706.990370370375</v>
      </c>
      <c r="Q1747" s="16" t="s">
        <v>3376</v>
      </c>
      <c r="R1747" s="17" t="s">
        <v>3377</v>
      </c>
      <c r="S1747" s="11" t="s">
        <v>187</v>
      </c>
      <c r="T1747" s="12"/>
      <c r="U1747" s="10" t="str">
        <f>HYPERLINK("https://pbs.twimg.com/profile_images/1007020887571419136/2qcNDfwR.jpg","View")</f>
        <v>View</v>
      </c>
    </row>
    <row r="1748" spans="1:21" ht="40.799999999999997">
      <c r="A1748" s="6">
        <v>43417.678900462968</v>
      </c>
      <c r="B1748" s="7" t="str">
        <f>HYPERLINK("https://twitter.com/VOX_Guadalajara","@VOX_Guadalajara")</f>
        <v>@VOX_Guadalajara</v>
      </c>
      <c r="C1748" s="8" t="s">
        <v>1305</v>
      </c>
      <c r="D1748" s="9" t="s">
        <v>5164</v>
      </c>
      <c r="E1748" s="10" t="str">
        <f>HYPERLINK("https://twitter.com/VOX_Guadalajara/status/1062363865248346113","1062363865248346113")</f>
        <v>1062363865248346113</v>
      </c>
      <c r="F1748" s="11" t="s">
        <v>4700</v>
      </c>
      <c r="G1748" s="11" t="s">
        <v>5165</v>
      </c>
      <c r="H1748" s="12"/>
      <c r="I1748" s="13">
        <v>1</v>
      </c>
      <c r="J1748" s="13">
        <v>0</v>
      </c>
      <c r="K1748" s="14" t="str">
        <f t="shared" ref="K1748:K1749" si="506">HYPERLINK("http://twitter.com/download/android","Twitter for Android")</f>
        <v>Twitter for Android</v>
      </c>
      <c r="L1748" s="13">
        <v>2564</v>
      </c>
      <c r="M1748" s="13">
        <v>2101</v>
      </c>
      <c r="N1748" s="13">
        <v>42</v>
      </c>
      <c r="O1748" s="15"/>
      <c r="P1748" s="6">
        <v>41707.002291666664</v>
      </c>
      <c r="Q1748" s="16" t="s">
        <v>1308</v>
      </c>
      <c r="R1748" s="17" t="s">
        <v>1309</v>
      </c>
      <c r="S1748" s="11" t="s">
        <v>1310</v>
      </c>
      <c r="T1748" s="12"/>
      <c r="U1748" s="10" t="str">
        <f>HYPERLINK("https://pbs.twimg.com/profile_images/592072772932730880/rNcgJTpv.jpg","View")</f>
        <v>View</v>
      </c>
    </row>
    <row r="1749" spans="1:21" ht="61.2">
      <c r="A1749" s="6">
        <v>43417.675787037035</v>
      </c>
      <c r="B1749" s="7" t="str">
        <f>HYPERLINK("https://twitter.com/UlisesGamez10","@UlisesGamez10")</f>
        <v>@UlisesGamez10</v>
      </c>
      <c r="C1749" s="8" t="s">
        <v>23</v>
      </c>
      <c r="D1749" s="9" t="s">
        <v>5385</v>
      </c>
      <c r="E1749" s="10" t="str">
        <f>HYPERLINK("https://twitter.com/UlisesGamez10/status/1062362737089626112","1062362737089626112")</f>
        <v>1062362737089626112</v>
      </c>
      <c r="F1749" s="16" t="s">
        <v>5369</v>
      </c>
      <c r="G1749" s="12"/>
      <c r="H1749" s="12"/>
      <c r="I1749" s="13">
        <v>0</v>
      </c>
      <c r="J1749" s="13">
        <v>2</v>
      </c>
      <c r="K1749" s="14" t="str">
        <f t="shared" si="506"/>
        <v>Twitter for Android</v>
      </c>
      <c r="L1749" s="13">
        <v>1162</v>
      </c>
      <c r="M1749" s="13">
        <v>5000</v>
      </c>
      <c r="N1749" s="13">
        <v>0</v>
      </c>
      <c r="O1749" s="15"/>
      <c r="P1749" s="6">
        <v>43190.59783564815</v>
      </c>
      <c r="Q1749" s="16" t="s">
        <v>25</v>
      </c>
      <c r="R1749" s="17" t="s">
        <v>27</v>
      </c>
      <c r="S1749" s="12"/>
      <c r="T1749" s="12"/>
      <c r="U1749" s="10" t="str">
        <f>HYPERLINK("https://pbs.twimg.com/profile_images/1031158722586980352/ItGPtjBj.jpg","View")</f>
        <v>View</v>
      </c>
    </row>
    <row r="1750" spans="1:21" ht="40.799999999999997">
      <c r="A1750" s="6">
        <v>43417.673182870371</v>
      </c>
      <c r="B1750" s="7" t="str">
        <f>HYPERLINK("https://twitter.com/CuevasMoral","@CuevasMoral")</f>
        <v>@CuevasMoral</v>
      </c>
      <c r="C1750" s="8" t="s">
        <v>5386</v>
      </c>
      <c r="D1750" s="9" t="s">
        <v>5387</v>
      </c>
      <c r="E1750" s="10" t="str">
        <f>HYPERLINK("https://twitter.com/CuevasMoral/status/1062361791613882368","1062361791613882368")</f>
        <v>1062361791613882368</v>
      </c>
      <c r="F1750" s="12"/>
      <c r="G1750" s="12"/>
      <c r="H1750" s="12"/>
      <c r="I1750" s="13">
        <v>0</v>
      </c>
      <c r="J1750" s="13">
        <v>1</v>
      </c>
      <c r="K1750" s="14" t="str">
        <f t="shared" ref="K1750:K1751" si="507">HYPERLINK("http://twitter.com","Twitter Web Client")</f>
        <v>Twitter Web Client</v>
      </c>
      <c r="L1750" s="13">
        <v>2567</v>
      </c>
      <c r="M1750" s="13">
        <v>1695</v>
      </c>
      <c r="N1750" s="13">
        <v>53</v>
      </c>
      <c r="O1750" s="15"/>
      <c r="P1750" s="6">
        <v>40186.400625000002</v>
      </c>
      <c r="Q1750" s="12"/>
      <c r="R1750" s="17" t="s">
        <v>5388</v>
      </c>
      <c r="S1750" s="12"/>
      <c r="T1750" s="12"/>
      <c r="U1750" s="10" t="str">
        <f>HYPERLINK("https://pbs.twimg.com/profile_images/1035855199074705408/RuNybK9s.jpg","View")</f>
        <v>View</v>
      </c>
    </row>
    <row r="1751" spans="1:21" ht="40.799999999999997">
      <c r="A1751" s="6">
        <v>43417.668715277774</v>
      </c>
      <c r="B1751" s="7" t="str">
        <f>HYPERLINK("https://twitter.com/victor_hurtado","@victor_hurtado")</f>
        <v>@victor_hurtado</v>
      </c>
      <c r="C1751" s="8" t="s">
        <v>5613</v>
      </c>
      <c r="D1751" s="9" t="s">
        <v>5614</v>
      </c>
      <c r="E1751" s="10" t="str">
        <f>HYPERLINK("https://twitter.com/victor_hurtado/status/1062360170620223490","1062360170620223490")</f>
        <v>1062360170620223490</v>
      </c>
      <c r="F1751" s="12"/>
      <c r="G1751" s="11" t="s">
        <v>5615</v>
      </c>
      <c r="H1751" s="12"/>
      <c r="I1751" s="13">
        <v>3</v>
      </c>
      <c r="J1751" s="13">
        <v>10</v>
      </c>
      <c r="K1751" s="14" t="str">
        <f t="shared" si="507"/>
        <v>Twitter Web Client</v>
      </c>
      <c r="L1751" s="13">
        <v>2568</v>
      </c>
      <c r="M1751" s="13">
        <v>4089</v>
      </c>
      <c r="N1751" s="13">
        <v>61</v>
      </c>
      <c r="O1751" s="15"/>
      <c r="P1751" s="6">
        <v>39879.0859375</v>
      </c>
      <c r="Q1751" s="16" t="s">
        <v>5616</v>
      </c>
      <c r="R1751" s="17" t="s">
        <v>5617</v>
      </c>
      <c r="S1751" s="11" t="s">
        <v>5618</v>
      </c>
      <c r="T1751" s="12"/>
      <c r="U1751" s="10" t="str">
        <f>HYPERLINK("https://pbs.twimg.com/profile_images/1039975279660347392/bO9WsDmW.jpg","View")</f>
        <v>View</v>
      </c>
    </row>
    <row r="1752" spans="1:21" ht="61.2">
      <c r="A1752" s="6">
        <v>43417.668356481481</v>
      </c>
      <c r="B1752" s="7" t="str">
        <f>HYPERLINK("https://twitter.com/kortatu75","@kortatu75")</f>
        <v>@kortatu75</v>
      </c>
      <c r="C1752" s="8" t="s">
        <v>5619</v>
      </c>
      <c r="D1752" s="9" t="s">
        <v>5620</v>
      </c>
      <c r="E1752" s="10" t="str">
        <f>HYPERLINK("https://twitter.com/kortatu75/status/1062360041855115265","1062360041855115265")</f>
        <v>1062360041855115265</v>
      </c>
      <c r="F1752" s="11" t="s">
        <v>5621</v>
      </c>
      <c r="G1752" s="12"/>
      <c r="H1752" s="12"/>
      <c r="I1752" s="13">
        <v>0</v>
      </c>
      <c r="J1752" s="13">
        <v>0</v>
      </c>
      <c r="K1752" s="14" t="str">
        <f t="shared" ref="K1752:K1754" si="508">HYPERLINK("http://twitter.com/download/android","Twitter for Android")</f>
        <v>Twitter for Android</v>
      </c>
      <c r="L1752" s="13">
        <v>80</v>
      </c>
      <c r="M1752" s="13">
        <v>293</v>
      </c>
      <c r="N1752" s="13">
        <v>1</v>
      </c>
      <c r="O1752" s="15"/>
      <c r="P1752" s="6">
        <v>41952.953703703708</v>
      </c>
      <c r="Q1752" s="12"/>
      <c r="R1752" s="17" t="s">
        <v>5622</v>
      </c>
      <c r="S1752" s="12"/>
      <c r="T1752" s="12"/>
      <c r="U1752" s="10" t="str">
        <f>HYPERLINK("https://pbs.twimg.com/profile_images/614906944613126144/xPDtKI9w.jpg","View")</f>
        <v>View</v>
      </c>
    </row>
    <row r="1753" spans="1:21" ht="61.2">
      <c r="A1753" s="6">
        <v>43417.668229166666</v>
      </c>
      <c r="B1753" s="7" t="str">
        <f>HYPERLINK("https://twitter.com/Pozo_1969","@Pozo_1969")</f>
        <v>@Pozo_1969</v>
      </c>
      <c r="C1753" s="8" t="s">
        <v>556</v>
      </c>
      <c r="D1753" s="9" t="s">
        <v>5389</v>
      </c>
      <c r="E1753" s="10" t="str">
        <f>HYPERLINK("https://twitter.com/Pozo_1969/status/1062359996015542273","1062359996015542273")</f>
        <v>1062359996015542273</v>
      </c>
      <c r="F1753" s="12"/>
      <c r="G1753" s="11" t="s">
        <v>5390</v>
      </c>
      <c r="H1753" s="12"/>
      <c r="I1753" s="13">
        <v>17</v>
      </c>
      <c r="J1753" s="13">
        <v>21</v>
      </c>
      <c r="K1753" s="14" t="str">
        <f t="shared" si="508"/>
        <v>Twitter for Android</v>
      </c>
      <c r="L1753" s="13">
        <v>2102</v>
      </c>
      <c r="M1753" s="13">
        <v>2137</v>
      </c>
      <c r="N1753" s="13">
        <v>40</v>
      </c>
      <c r="O1753" s="15"/>
      <c r="P1753" s="6">
        <v>40815.401643518519</v>
      </c>
      <c r="Q1753" s="12"/>
      <c r="R1753" s="17" t="s">
        <v>558</v>
      </c>
      <c r="S1753" s="12"/>
      <c r="T1753" s="12"/>
      <c r="U1753" s="10" t="str">
        <f>HYPERLINK("https://pbs.twimg.com/profile_images/844561592603824128/WgXnX2H3.jpg","View")</f>
        <v>View</v>
      </c>
    </row>
    <row r="1754" spans="1:21" ht="40.799999999999997">
      <c r="A1754" s="6">
        <v>43417.658020833333</v>
      </c>
      <c r="B1754" s="7" t="str">
        <f>HYPERLINK("https://twitter.com/sherlockbond_","@sherlockbond_")</f>
        <v>@sherlockbond_</v>
      </c>
      <c r="C1754" s="8" t="s">
        <v>5623</v>
      </c>
      <c r="D1754" s="9" t="s">
        <v>5624</v>
      </c>
      <c r="E1754" s="10" t="str">
        <f>HYPERLINK("https://twitter.com/sherlockbond_/status/1062356296559673344","1062356296559673344")</f>
        <v>1062356296559673344</v>
      </c>
      <c r="F1754" s="12"/>
      <c r="G1754" s="12"/>
      <c r="H1754" s="12"/>
      <c r="I1754" s="13">
        <v>0</v>
      </c>
      <c r="J1754" s="13">
        <v>1</v>
      </c>
      <c r="K1754" s="14" t="str">
        <f t="shared" si="508"/>
        <v>Twitter for Android</v>
      </c>
      <c r="L1754" s="13">
        <v>136</v>
      </c>
      <c r="M1754" s="13">
        <v>181</v>
      </c>
      <c r="N1754" s="13">
        <v>1</v>
      </c>
      <c r="O1754" s="15"/>
      <c r="P1754" s="6">
        <v>43309.936006944445</v>
      </c>
      <c r="Q1754" s="12"/>
      <c r="R1754" s="17" t="s">
        <v>5625</v>
      </c>
      <c r="S1754" s="11" t="s">
        <v>5626</v>
      </c>
      <c r="T1754" s="12"/>
      <c r="U1754" s="10" t="str">
        <f>HYPERLINK("https://pbs.twimg.com/profile_images/1025397031551025153/--EXnItf.jpg","View")</f>
        <v>View</v>
      </c>
    </row>
    <row r="1755" spans="1:21" ht="30.6">
      <c r="A1755" s="6">
        <v>43417.65587962963</v>
      </c>
      <c r="B1755" s="7" t="str">
        <f>HYPERLINK("https://twitter.com/Snuff","@Snuff")</f>
        <v>@Snuff</v>
      </c>
      <c r="C1755" s="8" t="s">
        <v>5627</v>
      </c>
      <c r="D1755" s="9" t="s">
        <v>5628</v>
      </c>
      <c r="E1755" s="10" t="str">
        <f>HYPERLINK("https://twitter.com/Snuff/status/1062355522849030145","1062355522849030145")</f>
        <v>1062355522849030145</v>
      </c>
      <c r="F1755" s="12"/>
      <c r="G1755" s="11" t="s">
        <v>5629</v>
      </c>
      <c r="H1755" s="12"/>
      <c r="I1755" s="13">
        <v>0</v>
      </c>
      <c r="J1755" s="13">
        <v>1</v>
      </c>
      <c r="K1755" s="14" t="str">
        <f>HYPERLINK("http://twitter.com","Twitter Web Client")</f>
        <v>Twitter Web Client</v>
      </c>
      <c r="L1755" s="13">
        <v>1464</v>
      </c>
      <c r="M1755" s="13">
        <v>1956</v>
      </c>
      <c r="N1755" s="13">
        <v>37</v>
      </c>
      <c r="O1755" s="15"/>
      <c r="P1755" s="6">
        <v>39461.614444444444</v>
      </c>
      <c r="Q1755" s="16" t="s">
        <v>5630</v>
      </c>
      <c r="R1755" s="17" t="s">
        <v>5631</v>
      </c>
      <c r="S1755" s="11" t="s">
        <v>5632</v>
      </c>
      <c r="T1755" s="12"/>
      <c r="U1755" s="10" t="str">
        <f>HYPERLINK("https://pbs.twimg.com/profile_images/1059871287403782149/v0PbcYd3.jpg","View")</f>
        <v>View</v>
      </c>
    </row>
    <row r="1756" spans="1:21" ht="51">
      <c r="A1756" s="6">
        <v>43417.654953703706</v>
      </c>
      <c r="B1756" s="7" t="str">
        <f>HYPERLINK("https://twitter.com/Vox_Murcia","@Vox_Murcia")</f>
        <v>@Vox_Murcia</v>
      </c>
      <c r="C1756" s="8" t="s">
        <v>3374</v>
      </c>
      <c r="D1756" s="9" t="s">
        <v>5392</v>
      </c>
      <c r="E1756" s="10" t="str">
        <f>HYPERLINK("https://twitter.com/Vox_Murcia/status/1062355187354996736","1062355187354996736")</f>
        <v>1062355187354996736</v>
      </c>
      <c r="F1756" s="11" t="s">
        <v>5393</v>
      </c>
      <c r="G1756" s="11" t="s">
        <v>5394</v>
      </c>
      <c r="H1756" s="12"/>
      <c r="I1756" s="13">
        <v>11</v>
      </c>
      <c r="J1756" s="13">
        <v>16</v>
      </c>
      <c r="K1756" s="14" t="str">
        <f t="shared" ref="K1756:K1758" si="509">HYPERLINK("http://twitter.com/download/android","Twitter for Android")</f>
        <v>Twitter for Android</v>
      </c>
      <c r="L1756" s="13">
        <v>3081</v>
      </c>
      <c r="M1756" s="13">
        <v>3585</v>
      </c>
      <c r="N1756" s="13">
        <v>45</v>
      </c>
      <c r="O1756" s="15"/>
      <c r="P1756" s="6">
        <v>41706.990370370375</v>
      </c>
      <c r="Q1756" s="16" t="s">
        <v>3376</v>
      </c>
      <c r="R1756" s="17" t="s">
        <v>3377</v>
      </c>
      <c r="S1756" s="11" t="s">
        <v>187</v>
      </c>
      <c r="T1756" s="12"/>
      <c r="U1756" s="10" t="str">
        <f>HYPERLINK("https://pbs.twimg.com/profile_images/1007020887571419136/2qcNDfwR.jpg","View")</f>
        <v>View</v>
      </c>
    </row>
    <row r="1757" spans="1:21" ht="112.2">
      <c r="A1757" s="6">
        <v>43417.653148148151</v>
      </c>
      <c r="B1757" s="7" t="str">
        <f>HYPERLINK("https://twitter.com/UlisesGamez10","@UlisesGamez10")</f>
        <v>@UlisesGamez10</v>
      </c>
      <c r="C1757" s="8" t="s">
        <v>23</v>
      </c>
      <c r="D1757" s="9" t="s">
        <v>5395</v>
      </c>
      <c r="E1757" s="10" t="str">
        <f>HYPERLINK("https://twitter.com/UlisesGamez10/status/1062354529939845122","1062354529939845122")</f>
        <v>1062354529939845122</v>
      </c>
      <c r="F1757" s="16" t="s">
        <v>5396</v>
      </c>
      <c r="G1757" s="12"/>
      <c r="H1757" s="12"/>
      <c r="I1757" s="13">
        <v>0</v>
      </c>
      <c r="J1757" s="13">
        <v>1</v>
      </c>
      <c r="K1757" s="14" t="str">
        <f t="shared" si="509"/>
        <v>Twitter for Android</v>
      </c>
      <c r="L1757" s="13">
        <v>1162</v>
      </c>
      <c r="M1757" s="13">
        <v>5000</v>
      </c>
      <c r="N1757" s="13">
        <v>0</v>
      </c>
      <c r="O1757" s="15"/>
      <c r="P1757" s="6">
        <v>43190.59783564815</v>
      </c>
      <c r="Q1757" s="16" t="s">
        <v>25</v>
      </c>
      <c r="R1757" s="17" t="s">
        <v>27</v>
      </c>
      <c r="S1757" s="12"/>
      <c r="T1757" s="12"/>
      <c r="U1757" s="10" t="str">
        <f>HYPERLINK("https://pbs.twimg.com/profile_images/1031158722586980352/ItGPtjBj.jpg","View")</f>
        <v>View</v>
      </c>
    </row>
    <row r="1758" spans="1:21" ht="40.799999999999997">
      <c r="A1758" s="6">
        <v>43417.643043981487</v>
      </c>
      <c r="B1758" s="7" t="str">
        <f>HYPERLINK("https://twitter.com/jlacambra","@jlacambra")</f>
        <v>@jlacambra</v>
      </c>
      <c r="C1758" s="8" t="s">
        <v>5397</v>
      </c>
      <c r="D1758" s="9" t="s">
        <v>5398</v>
      </c>
      <c r="E1758" s="10" t="str">
        <f>HYPERLINK("https://twitter.com/jlacambra/status/1062350871676231681","1062350871676231681")</f>
        <v>1062350871676231681</v>
      </c>
      <c r="F1758" s="12"/>
      <c r="G1758" s="12"/>
      <c r="H1758" s="12"/>
      <c r="I1758" s="13">
        <v>0</v>
      </c>
      <c r="J1758" s="13">
        <v>0</v>
      </c>
      <c r="K1758" s="14" t="str">
        <f t="shared" si="509"/>
        <v>Twitter for Android</v>
      </c>
      <c r="L1758" s="13">
        <v>173</v>
      </c>
      <c r="M1758" s="13">
        <v>74</v>
      </c>
      <c r="N1758" s="13">
        <v>11</v>
      </c>
      <c r="O1758" s="15"/>
      <c r="P1758" s="6">
        <v>40197.039155092592</v>
      </c>
      <c r="Q1758" s="16" t="s">
        <v>5399</v>
      </c>
      <c r="R1758" s="17" t="s">
        <v>5400</v>
      </c>
      <c r="S1758" s="12"/>
      <c r="T1758" s="12"/>
      <c r="U1758" s="10" t="str">
        <f>HYPERLINK("https://pbs.twimg.com/profile_images/1041115426086891520/hWHtUNPo.jpg","View")</f>
        <v>View</v>
      </c>
    </row>
    <row r="1759" spans="1:21" ht="81.599999999999994">
      <c r="A1759" s="6">
        <v>43417.638171296298</v>
      </c>
      <c r="B1759" s="7" t="str">
        <f>HYPERLINK("https://twitter.com/NeroPaddilla","@NeroPaddilla")</f>
        <v>@NeroPaddilla</v>
      </c>
      <c r="C1759" s="8" t="s">
        <v>1546</v>
      </c>
      <c r="D1759" s="9" t="s">
        <v>5401</v>
      </c>
      <c r="E1759" s="10" t="str">
        <f>HYPERLINK("https://twitter.com/NeroPaddilla/status/1062349105601699840","1062349105601699840")</f>
        <v>1062349105601699840</v>
      </c>
      <c r="F1759" s="16" t="s">
        <v>5363</v>
      </c>
      <c r="G1759" s="12"/>
      <c r="H1759" s="12"/>
      <c r="I1759" s="13">
        <v>1</v>
      </c>
      <c r="J1759" s="13">
        <v>0</v>
      </c>
      <c r="K1759" s="14" t="str">
        <f>HYPERLINK("http://twitter.com","Twitter Web Client")</f>
        <v>Twitter Web Client</v>
      </c>
      <c r="L1759" s="13">
        <v>530</v>
      </c>
      <c r="M1759" s="13">
        <v>1145</v>
      </c>
      <c r="N1759" s="13">
        <v>0</v>
      </c>
      <c r="O1759" s="15"/>
      <c r="P1759" s="6">
        <v>43177.728159722217</v>
      </c>
      <c r="Q1759" s="12"/>
      <c r="R1759" s="21"/>
      <c r="S1759" s="12"/>
      <c r="T1759" s="12"/>
      <c r="U1759" s="10" t="str">
        <f>HYPERLINK("https://pbs.twimg.com/profile_images/975414123369500672/1Q9skH_w.jpg","View")</f>
        <v>View</v>
      </c>
    </row>
    <row r="1760" spans="1:21" ht="71.400000000000006">
      <c r="A1760" s="6">
        <v>43417.637071759258</v>
      </c>
      <c r="B1760" s="7" t="str">
        <f>HYPERLINK("https://twitter.com/Jrmgonzalez","@Jrmgonzalez")</f>
        <v>@Jrmgonzalez</v>
      </c>
      <c r="C1760" s="8" t="s">
        <v>308</v>
      </c>
      <c r="D1760" s="9" t="s">
        <v>5402</v>
      </c>
      <c r="E1760" s="10" t="str">
        <f>HYPERLINK("https://twitter.com/Jrmgonzalez/status/1062348705016229893","1062348705016229893")</f>
        <v>1062348705016229893</v>
      </c>
      <c r="F1760" s="11" t="s">
        <v>5403</v>
      </c>
      <c r="G1760" s="11" t="s">
        <v>5404</v>
      </c>
      <c r="H1760" s="12"/>
      <c r="I1760" s="13">
        <v>1</v>
      </c>
      <c r="J1760" s="13">
        <v>5</v>
      </c>
      <c r="K1760" s="14" t="str">
        <f>HYPERLINK("http://twitter.com/download/iphone","Twitter for iPhone")</f>
        <v>Twitter for iPhone</v>
      </c>
      <c r="L1760" s="13">
        <v>32</v>
      </c>
      <c r="M1760" s="13">
        <v>265</v>
      </c>
      <c r="N1760" s="13">
        <v>2</v>
      </c>
      <c r="O1760" s="15"/>
      <c r="P1760" s="6">
        <v>41696.563379629632</v>
      </c>
      <c r="Q1760" s="16" t="s">
        <v>312</v>
      </c>
      <c r="R1760" s="17" t="s">
        <v>313</v>
      </c>
      <c r="S1760" s="12"/>
      <c r="T1760" s="12"/>
      <c r="U1760" s="10" t="str">
        <f>HYPERLINK("https://pbs.twimg.com/profile_images/951188977960222721/P3ZmIVlt.jpg","View")</f>
        <v>View</v>
      </c>
    </row>
    <row r="1761" spans="1:21" ht="61.2">
      <c r="A1761" s="6">
        <v>43417.636712962965</v>
      </c>
      <c r="B1761" s="7" t="str">
        <f>HYPERLINK("https://twitter.com/UlisesGamez10","@UlisesGamez10")</f>
        <v>@UlisesGamez10</v>
      </c>
      <c r="C1761" s="8" t="s">
        <v>23</v>
      </c>
      <c r="D1761" s="9" t="s">
        <v>5405</v>
      </c>
      <c r="E1761" s="10" t="str">
        <f>HYPERLINK("https://twitter.com/UlisesGamez10/status/1062348574476902400","1062348574476902400")</f>
        <v>1062348574476902400</v>
      </c>
      <c r="F1761" s="12"/>
      <c r="G1761" s="11" t="s">
        <v>5406</v>
      </c>
      <c r="H1761" s="12"/>
      <c r="I1761" s="13">
        <v>0</v>
      </c>
      <c r="J1761" s="13">
        <v>0</v>
      </c>
      <c r="K1761" s="14" t="str">
        <f t="shared" ref="K1761:K1765" si="510">HYPERLINK("http://twitter.com/download/android","Twitter for Android")</f>
        <v>Twitter for Android</v>
      </c>
      <c r="L1761" s="13">
        <v>1162</v>
      </c>
      <c r="M1761" s="13">
        <v>5000</v>
      </c>
      <c r="N1761" s="13">
        <v>0</v>
      </c>
      <c r="O1761" s="15"/>
      <c r="P1761" s="6">
        <v>43190.59783564815</v>
      </c>
      <c r="Q1761" s="16" t="s">
        <v>25</v>
      </c>
      <c r="R1761" s="17" t="s">
        <v>27</v>
      </c>
      <c r="S1761" s="12"/>
      <c r="T1761" s="12"/>
      <c r="U1761" s="10" t="str">
        <f>HYPERLINK("https://pbs.twimg.com/profile_images/1031158722586980352/ItGPtjBj.jpg","View")</f>
        <v>View</v>
      </c>
    </row>
    <row r="1762" spans="1:21" ht="71.400000000000006">
      <c r="A1762" s="6">
        <v>43417.635671296295</v>
      </c>
      <c r="B1762" s="7" t="str">
        <f>HYPERLINK("https://twitter.com/delmoralo","@delmoralo")</f>
        <v>@delmoralo</v>
      </c>
      <c r="C1762" s="8" t="s">
        <v>5407</v>
      </c>
      <c r="D1762" s="9" t="s">
        <v>5408</v>
      </c>
      <c r="E1762" s="10" t="str">
        <f>HYPERLINK("https://twitter.com/delmoralo/status/1062348196658196485","1062348196658196485")</f>
        <v>1062348196658196485</v>
      </c>
      <c r="F1762" s="16" t="s">
        <v>5409</v>
      </c>
      <c r="G1762" s="12"/>
      <c r="H1762" s="12"/>
      <c r="I1762" s="13">
        <v>0</v>
      </c>
      <c r="J1762" s="13">
        <v>2</v>
      </c>
      <c r="K1762" s="14" t="str">
        <f t="shared" si="510"/>
        <v>Twitter for Android</v>
      </c>
      <c r="L1762" s="13">
        <v>2875</v>
      </c>
      <c r="M1762" s="13">
        <v>299</v>
      </c>
      <c r="N1762" s="13">
        <v>63</v>
      </c>
      <c r="O1762" s="15"/>
      <c r="P1762" s="6">
        <v>40406.843807870369</v>
      </c>
      <c r="Q1762" s="16" t="s">
        <v>5410</v>
      </c>
      <c r="R1762" s="17" t="s">
        <v>5411</v>
      </c>
      <c r="S1762" s="11" t="s">
        <v>5412</v>
      </c>
      <c r="T1762" s="12"/>
      <c r="U1762" s="10" t="str">
        <f>HYPERLINK("https://pbs.twimg.com/profile_images/1027698376077451264/ybqgwhYD.jpg","View")</f>
        <v>View</v>
      </c>
    </row>
    <row r="1763" spans="1:21" ht="102">
      <c r="A1763" s="6">
        <v>43417.631712962961</v>
      </c>
      <c r="B1763" s="7" t="str">
        <f>HYPERLINK("https://twitter.com/Jonasyo","@Jonasyo")</f>
        <v>@Jonasyo</v>
      </c>
      <c r="C1763" s="8" t="s">
        <v>5413</v>
      </c>
      <c r="D1763" s="9" t="s">
        <v>5414</v>
      </c>
      <c r="E1763" s="10" t="str">
        <f>HYPERLINK("https://twitter.com/Jonasyo/status/1062346764618006528","1062346764618006528")</f>
        <v>1062346764618006528</v>
      </c>
      <c r="F1763" s="11" t="s">
        <v>4730</v>
      </c>
      <c r="G1763" s="12"/>
      <c r="H1763" s="12"/>
      <c r="I1763" s="13">
        <v>0</v>
      </c>
      <c r="J1763" s="13">
        <v>0</v>
      </c>
      <c r="K1763" s="14" t="str">
        <f t="shared" si="510"/>
        <v>Twitter for Android</v>
      </c>
      <c r="L1763" s="13">
        <v>503</v>
      </c>
      <c r="M1763" s="13">
        <v>757</v>
      </c>
      <c r="N1763" s="13">
        <v>11</v>
      </c>
      <c r="O1763" s="15"/>
      <c r="P1763" s="6">
        <v>40143.782893518517</v>
      </c>
      <c r="Q1763" s="12"/>
      <c r="R1763" s="17" t="s">
        <v>5416</v>
      </c>
      <c r="S1763" s="12"/>
      <c r="T1763" s="12"/>
      <c r="U1763" s="10" t="str">
        <f>HYPERLINK("https://pbs.twimg.com/profile_images/653985421773402112/l7zCYzpf.jpg","View")</f>
        <v>View</v>
      </c>
    </row>
    <row r="1764" spans="1:21" ht="40.799999999999997">
      <c r="A1764" s="6">
        <v>43417.630277777775</v>
      </c>
      <c r="B1764" s="7" t="str">
        <f>HYPERLINK("https://twitter.com/Xuxatronnn","@Xuxatronnn")</f>
        <v>@Xuxatronnn</v>
      </c>
      <c r="C1764" s="8" t="s">
        <v>5633</v>
      </c>
      <c r="D1764" s="9" t="s">
        <v>5634</v>
      </c>
      <c r="E1764" s="10" t="str">
        <f>HYPERLINK("https://twitter.com/Xuxatronnn/status/1062346244687908866","1062346244687908866")</f>
        <v>1062346244687908866</v>
      </c>
      <c r="F1764" s="12"/>
      <c r="G1764" s="11" t="s">
        <v>5635</v>
      </c>
      <c r="H1764" s="12"/>
      <c r="I1764" s="13">
        <v>0</v>
      </c>
      <c r="J1764" s="13">
        <v>0</v>
      </c>
      <c r="K1764" s="14" t="str">
        <f t="shared" si="510"/>
        <v>Twitter for Android</v>
      </c>
      <c r="L1764" s="13">
        <v>969</v>
      </c>
      <c r="M1764" s="13">
        <v>916</v>
      </c>
      <c r="N1764" s="13">
        <v>11</v>
      </c>
      <c r="O1764" s="15"/>
      <c r="P1764" s="6">
        <v>42490.89707175926</v>
      </c>
      <c r="Q1764" s="12"/>
      <c r="R1764" s="17" t="s">
        <v>5636</v>
      </c>
      <c r="S1764" s="12"/>
      <c r="T1764" s="12"/>
      <c r="U1764" s="10" t="str">
        <f>HYPERLINK("https://pbs.twimg.com/profile_images/914584332815224835/YbW49TKK.jpg","View")</f>
        <v>View</v>
      </c>
    </row>
    <row r="1765" spans="1:21" ht="61.2">
      <c r="A1765" s="6">
        <v>43417.626423611116</v>
      </c>
      <c r="B1765" s="7" t="str">
        <f>HYPERLINK("https://twitter.com/psolidaridad","@psolidaridad")</f>
        <v>@psolidaridad</v>
      </c>
      <c r="C1765" s="8" t="s">
        <v>270</v>
      </c>
      <c r="D1765" s="9" t="s">
        <v>5418</v>
      </c>
      <c r="E1765" s="10" t="str">
        <f>HYPERLINK("https://twitter.com/psolidaridad/status/1062344844633427969","1062344844633427969")</f>
        <v>1062344844633427969</v>
      </c>
      <c r="F1765" s="12"/>
      <c r="G1765" s="12"/>
      <c r="H1765" s="12"/>
      <c r="I1765" s="13">
        <v>1</v>
      </c>
      <c r="J1765" s="13">
        <v>0</v>
      </c>
      <c r="K1765" s="14" t="str">
        <f t="shared" si="510"/>
        <v>Twitter for Android</v>
      </c>
      <c r="L1765" s="13">
        <v>1542</v>
      </c>
      <c r="M1765" s="13">
        <v>4648</v>
      </c>
      <c r="N1765" s="13">
        <v>1</v>
      </c>
      <c r="O1765" s="15"/>
      <c r="P1765" s="6">
        <v>41803.502372685187</v>
      </c>
      <c r="Q1765" s="12"/>
      <c r="R1765" s="17" t="s">
        <v>272</v>
      </c>
      <c r="S1765" s="12"/>
      <c r="T1765" s="12"/>
      <c r="U1765" s="10" t="str">
        <f>HYPERLINK("https://pbs.twimg.com/profile_images/1030394358397317120/oQ0F2vnz.jpg","View")</f>
        <v>View</v>
      </c>
    </row>
    <row r="1766" spans="1:21" ht="30.6">
      <c r="A1766" s="6">
        <v>43417.625</v>
      </c>
      <c r="B1766" s="7" t="str">
        <f>HYPERLINK("https://twitter.com/findesemanacope","@findesemanacope")</f>
        <v>@findesemanacope</v>
      </c>
      <c r="C1766" s="8" t="s">
        <v>5420</v>
      </c>
      <c r="D1766" s="9" t="s">
        <v>5421</v>
      </c>
      <c r="E1766" s="10" t="str">
        <f>HYPERLINK("https://twitter.com/findesemanacope/status/1062344330164256768","1062344330164256768")</f>
        <v>1062344330164256768</v>
      </c>
      <c r="F1766" s="11" t="s">
        <v>5423</v>
      </c>
      <c r="G1766" s="12"/>
      <c r="H1766" s="12"/>
      <c r="I1766" s="13">
        <v>98</v>
      </c>
      <c r="J1766" s="13">
        <v>201</v>
      </c>
      <c r="K1766" s="14" t="str">
        <f>HYPERLINK("http://dogtrack.es","DogTrack_Oficial")</f>
        <v>DogTrack_Oficial</v>
      </c>
      <c r="L1766" s="13">
        <v>9900</v>
      </c>
      <c r="M1766" s="13">
        <v>492</v>
      </c>
      <c r="N1766" s="13">
        <v>124</v>
      </c>
      <c r="O1766" s="23" t="s">
        <v>186</v>
      </c>
      <c r="P1766" s="6">
        <v>40428.719733796301</v>
      </c>
      <c r="Q1766" s="16" t="s">
        <v>644</v>
      </c>
      <c r="R1766" s="17" t="s">
        <v>5424</v>
      </c>
      <c r="S1766" s="11" t="s">
        <v>5425</v>
      </c>
      <c r="T1766" s="12"/>
      <c r="U1766" s="10" t="str">
        <f>HYPERLINK("https://pbs.twimg.com/profile_images/1063396717465341952/rQP5cogM.jpg","View")</f>
        <v>View</v>
      </c>
    </row>
    <row r="1767" spans="1:21" ht="102">
      <c r="A1767" s="6">
        <v>43417.622847222221</v>
      </c>
      <c r="B1767" s="7" t="str">
        <f>HYPERLINK("https://twitter.com/Paqui_D","@Paqui_D")</f>
        <v>@Paqui_D</v>
      </c>
      <c r="C1767" s="8" t="s">
        <v>5637</v>
      </c>
      <c r="D1767" s="9" t="s">
        <v>5638</v>
      </c>
      <c r="E1767" s="10" t="str">
        <f>HYPERLINK("https://twitter.com/Paqui_D/status/1062343551684698117","1062343551684698117")</f>
        <v>1062343551684698117</v>
      </c>
      <c r="F1767" s="11" t="s">
        <v>5639</v>
      </c>
      <c r="G1767" s="11" t="s">
        <v>5640</v>
      </c>
      <c r="H1767" s="12"/>
      <c r="I1767" s="13">
        <v>0</v>
      </c>
      <c r="J1767" s="13">
        <v>0</v>
      </c>
      <c r="K1767" s="14" t="str">
        <f>HYPERLINK("http://twitter.com/download/android","Twitter for Android")</f>
        <v>Twitter for Android</v>
      </c>
      <c r="L1767" s="13">
        <v>755</v>
      </c>
      <c r="M1767" s="13">
        <v>962</v>
      </c>
      <c r="N1767" s="13">
        <v>13</v>
      </c>
      <c r="O1767" s="15"/>
      <c r="P1767" s="6">
        <v>41207.907233796301</v>
      </c>
      <c r="Q1767" s="12"/>
      <c r="R1767" s="21"/>
      <c r="S1767" s="12"/>
      <c r="T1767" s="12"/>
      <c r="U1767" s="10" t="str">
        <f>HYPERLINK("https://pbs.twimg.com/profile_images/2763912447/c01a4970dd5b0f2ba58dbdfbf1091062.jpeg","View")</f>
        <v>View</v>
      </c>
    </row>
    <row r="1768" spans="1:21" ht="71.400000000000006">
      <c r="A1768" s="6">
        <v>43417.622789351852</v>
      </c>
      <c r="B1768" s="7" t="str">
        <f t="shared" ref="B1768:B1769" si="511">HYPERLINK("https://twitter.com/NeroPaddilla","@NeroPaddilla")</f>
        <v>@NeroPaddilla</v>
      </c>
      <c r="C1768" s="8" t="s">
        <v>1546</v>
      </c>
      <c r="D1768" s="9" t="s">
        <v>5641</v>
      </c>
      <c r="E1768" s="10" t="str">
        <f>HYPERLINK("https://twitter.com/NeroPaddilla/status/1062343527881936903","1062343527881936903")</f>
        <v>1062343527881936903</v>
      </c>
      <c r="F1768" s="16" t="s">
        <v>5642</v>
      </c>
      <c r="G1768" s="11" t="s">
        <v>5643</v>
      </c>
      <c r="H1768" s="12"/>
      <c r="I1768" s="13">
        <v>0</v>
      </c>
      <c r="J1768" s="13">
        <v>0</v>
      </c>
      <c r="K1768" s="14" t="str">
        <f t="shared" ref="K1768:K1769" si="512">HYPERLINK("http://twitter.com","Twitter Web Client")</f>
        <v>Twitter Web Client</v>
      </c>
      <c r="L1768" s="13">
        <v>530</v>
      </c>
      <c r="M1768" s="13">
        <v>1145</v>
      </c>
      <c r="N1768" s="13">
        <v>0</v>
      </c>
      <c r="O1768" s="15"/>
      <c r="P1768" s="6">
        <v>43177.728159722217</v>
      </c>
      <c r="Q1768" s="12"/>
      <c r="R1768" s="21"/>
      <c r="S1768" s="12"/>
      <c r="T1768" s="12"/>
      <c r="U1768" s="10" t="str">
        <f t="shared" ref="U1768:U1769" si="513">HYPERLINK("https://pbs.twimg.com/profile_images/975414123369500672/1Q9skH_w.jpg","View")</f>
        <v>View</v>
      </c>
    </row>
    <row r="1769" spans="1:21" ht="51">
      <c r="A1769" s="6">
        <v>43417.621817129635</v>
      </c>
      <c r="B1769" s="7" t="str">
        <f t="shared" si="511"/>
        <v>@NeroPaddilla</v>
      </c>
      <c r="C1769" s="8" t="s">
        <v>1546</v>
      </c>
      <c r="D1769" s="9" t="s">
        <v>5644</v>
      </c>
      <c r="E1769" s="10" t="str">
        <f>HYPERLINK("https://twitter.com/NeroPaddilla/status/1062343176873230336","1062343176873230336")</f>
        <v>1062343176873230336</v>
      </c>
      <c r="F1769" s="11" t="s">
        <v>5645</v>
      </c>
      <c r="G1769" s="12"/>
      <c r="H1769" s="12"/>
      <c r="I1769" s="13">
        <v>0</v>
      </c>
      <c r="J1769" s="13">
        <v>0</v>
      </c>
      <c r="K1769" s="14" t="str">
        <f t="shared" si="512"/>
        <v>Twitter Web Client</v>
      </c>
      <c r="L1769" s="13">
        <v>530</v>
      </c>
      <c r="M1769" s="13">
        <v>1145</v>
      </c>
      <c r="N1769" s="13">
        <v>0</v>
      </c>
      <c r="O1769" s="15"/>
      <c r="P1769" s="6">
        <v>43177.728159722217</v>
      </c>
      <c r="Q1769" s="12"/>
      <c r="R1769" s="21"/>
      <c r="S1769" s="12"/>
      <c r="T1769" s="12"/>
      <c r="U1769" s="10" t="str">
        <f t="shared" si="513"/>
        <v>View</v>
      </c>
    </row>
    <row r="1770" spans="1:21" ht="40.799999999999997">
      <c r="A1770" s="6">
        <v>43417.619421296295</v>
      </c>
      <c r="B1770" s="7" t="str">
        <f>HYPERLINK("https://twitter.com/rockyjavi","@rockyjavi")</f>
        <v>@rockyjavi</v>
      </c>
      <c r="C1770" s="8" t="s">
        <v>5646</v>
      </c>
      <c r="D1770" s="9" t="s">
        <v>5647</v>
      </c>
      <c r="E1770" s="10" t="str">
        <f>HYPERLINK("https://twitter.com/rockyjavi/status/1062342307830218752","1062342307830218752")</f>
        <v>1062342307830218752</v>
      </c>
      <c r="F1770" s="12"/>
      <c r="G1770" s="11" t="s">
        <v>5648</v>
      </c>
      <c r="H1770" s="12"/>
      <c r="I1770" s="13">
        <v>0</v>
      </c>
      <c r="J1770" s="13">
        <v>1</v>
      </c>
      <c r="K1770" s="14" t="str">
        <f t="shared" ref="K1770:K1771" si="514">HYPERLINK("http://twitter.com/download/android","Twitter for Android")</f>
        <v>Twitter for Android</v>
      </c>
      <c r="L1770" s="13">
        <v>376</v>
      </c>
      <c r="M1770" s="13">
        <v>706</v>
      </c>
      <c r="N1770" s="13">
        <v>1</v>
      </c>
      <c r="O1770" s="15"/>
      <c r="P1770" s="6">
        <v>40633.710219907407</v>
      </c>
      <c r="Q1770" s="12"/>
      <c r="R1770" s="21"/>
      <c r="S1770" s="12"/>
      <c r="T1770" s="12"/>
      <c r="U1770" s="10" t="str">
        <f>HYPERLINK("https://pbs.twimg.com/profile_images/453169589414023168/qyw0kPmt.jpeg","View")</f>
        <v>View</v>
      </c>
    </row>
    <row r="1771" spans="1:21" ht="20.399999999999999">
      <c r="A1771" s="6">
        <v>43417.618784722217</v>
      </c>
      <c r="B1771" s="7" t="str">
        <f>HYPERLINK("https://twitter.com/ExpositoOrteg","@ExpositoOrteg")</f>
        <v>@ExpositoOrteg</v>
      </c>
      <c r="C1771" s="8" t="s">
        <v>3909</v>
      </c>
      <c r="D1771" s="9" t="s">
        <v>5649</v>
      </c>
      <c r="E1771" s="10" t="str">
        <f>HYPERLINK("https://twitter.com/ExpositoOrteg/status/1062342077361676288","1062342077361676288")</f>
        <v>1062342077361676288</v>
      </c>
      <c r="F1771" s="12"/>
      <c r="G1771" s="11" t="s">
        <v>5650</v>
      </c>
      <c r="H1771" s="12"/>
      <c r="I1771" s="13">
        <v>27</v>
      </c>
      <c r="J1771" s="13">
        <v>41</v>
      </c>
      <c r="K1771" s="14" t="str">
        <f t="shared" si="514"/>
        <v>Twitter for Android</v>
      </c>
      <c r="L1771" s="13">
        <v>19680</v>
      </c>
      <c r="M1771" s="13">
        <v>12915</v>
      </c>
      <c r="N1771" s="13">
        <v>102</v>
      </c>
      <c r="O1771" s="15"/>
      <c r="P1771" s="6">
        <v>41567.481932870374</v>
      </c>
      <c r="Q1771" s="16" t="s">
        <v>3912</v>
      </c>
      <c r="R1771" s="17" t="s">
        <v>3913</v>
      </c>
      <c r="S1771" s="12"/>
      <c r="T1771" s="12"/>
      <c r="U1771" s="10" t="str">
        <f>HYPERLINK("https://pbs.twimg.com/profile_images/1015569711843512320/N5iD7fWY.jpg","View")</f>
        <v>View</v>
      </c>
    </row>
    <row r="1772" spans="1:21" ht="40.799999999999997">
      <c r="A1772" s="6">
        <v>43417.618379629625</v>
      </c>
      <c r="B1772" s="7" t="str">
        <f>HYPERLINK("https://twitter.com/MovRepCat","@MovRepCat")</f>
        <v>@MovRepCat</v>
      </c>
      <c r="C1772" s="8" t="s">
        <v>5651</v>
      </c>
      <c r="D1772" s="9" t="s">
        <v>5652</v>
      </c>
      <c r="E1772" s="10" t="str">
        <f>HYPERLINK("https://twitter.com/MovRepCat/status/1062341932968484865","1062341932968484865")</f>
        <v>1062341932968484865</v>
      </c>
      <c r="F1772" s="11" t="s">
        <v>5653</v>
      </c>
      <c r="G1772" s="11" t="s">
        <v>5654</v>
      </c>
      <c r="H1772" s="12"/>
      <c r="I1772" s="13">
        <v>1</v>
      </c>
      <c r="J1772" s="13">
        <v>2</v>
      </c>
      <c r="K1772" s="14" t="str">
        <f>HYPERLINK("http://www.facebook.com/twitter","Facebook")</f>
        <v>Facebook</v>
      </c>
      <c r="L1772" s="13">
        <v>1336</v>
      </c>
      <c r="M1772" s="13">
        <v>4909</v>
      </c>
      <c r="N1772" s="13">
        <v>4</v>
      </c>
      <c r="O1772" s="15"/>
      <c r="P1772" s="6">
        <v>43226.464837962965</v>
      </c>
      <c r="Q1772" s="16" t="s">
        <v>1491</v>
      </c>
      <c r="R1772" s="21"/>
      <c r="S1772" s="12"/>
      <c r="T1772" s="12"/>
      <c r="U1772" s="10" t="str">
        <f>HYPERLINK("https://pbs.twimg.com/profile_images/993058313062572032/1LR242Su.jpg","View")</f>
        <v>View</v>
      </c>
    </row>
    <row r="1773" spans="1:21" ht="71.400000000000006">
      <c r="A1773" s="6">
        <v>43417.613888888889</v>
      </c>
      <c r="B1773" s="7" t="str">
        <f>HYPERLINK("https://twitter.com/OscarAlmagro_","@OscarAlmagro_")</f>
        <v>@OscarAlmagro_</v>
      </c>
      <c r="C1773" s="8" t="s">
        <v>5655</v>
      </c>
      <c r="D1773" s="9" t="s">
        <v>5656</v>
      </c>
      <c r="E1773" s="10" t="str">
        <f>HYPERLINK("https://twitter.com/OscarAlmagro_/status/1062340305071079425","1062340305071079425")</f>
        <v>1062340305071079425</v>
      </c>
      <c r="F1773" s="11" t="s">
        <v>5657</v>
      </c>
      <c r="G1773" s="11" t="s">
        <v>5658</v>
      </c>
      <c r="H1773" s="12"/>
      <c r="I1773" s="13">
        <v>0</v>
      </c>
      <c r="J1773" s="13">
        <v>0</v>
      </c>
      <c r="K1773" s="14" t="str">
        <f t="shared" ref="K1773:K1774" si="515">HYPERLINK("http://twitter.com/download/android","Twitter for Android")</f>
        <v>Twitter for Android</v>
      </c>
      <c r="L1773" s="13">
        <v>62</v>
      </c>
      <c r="M1773" s="13">
        <v>125</v>
      </c>
      <c r="N1773" s="13">
        <v>0</v>
      </c>
      <c r="O1773" s="15"/>
      <c r="P1773" s="6">
        <v>43229.956354166672</v>
      </c>
      <c r="Q1773" s="16" t="s">
        <v>44</v>
      </c>
      <c r="R1773" s="17" t="s">
        <v>5659</v>
      </c>
      <c r="S1773" s="12"/>
      <c r="T1773" s="12"/>
      <c r="U1773" s="10" t="str">
        <f>HYPERLINK("https://pbs.twimg.com/profile_images/994323626127167493/ZNF8mbIG.jpg","View")</f>
        <v>View</v>
      </c>
    </row>
    <row r="1774" spans="1:21" ht="61.2">
      <c r="A1774" s="6">
        <v>43417.613715277781</v>
      </c>
      <c r="B1774" s="7" t="str">
        <f>HYPERLINK("https://twitter.com/psolidaridad","@psolidaridad")</f>
        <v>@psolidaridad</v>
      </c>
      <c r="C1774" s="8" t="s">
        <v>270</v>
      </c>
      <c r="D1774" s="9" t="s">
        <v>5660</v>
      </c>
      <c r="E1774" s="10" t="str">
        <f>HYPERLINK("https://twitter.com/psolidaridad/status/1062340242215190529","1062340242215190529")</f>
        <v>1062340242215190529</v>
      </c>
      <c r="F1774" s="12"/>
      <c r="G1774" s="12"/>
      <c r="H1774" s="12"/>
      <c r="I1774" s="13">
        <v>0</v>
      </c>
      <c r="J1774" s="13">
        <v>1</v>
      </c>
      <c r="K1774" s="14" t="str">
        <f t="shared" si="515"/>
        <v>Twitter for Android</v>
      </c>
      <c r="L1774" s="13">
        <v>1542</v>
      </c>
      <c r="M1774" s="13">
        <v>4648</v>
      </c>
      <c r="N1774" s="13">
        <v>1</v>
      </c>
      <c r="O1774" s="15"/>
      <c r="P1774" s="6">
        <v>41803.502372685187</v>
      </c>
      <c r="Q1774" s="12"/>
      <c r="R1774" s="17" t="s">
        <v>272</v>
      </c>
      <c r="S1774" s="12"/>
      <c r="T1774" s="12"/>
      <c r="U1774" s="10" t="str">
        <f>HYPERLINK("https://pbs.twimg.com/profile_images/1030394358397317120/oQ0F2vnz.jpg","View")</f>
        <v>View</v>
      </c>
    </row>
    <row r="1775" spans="1:21" ht="61.2">
      <c r="A1775" s="6">
        <v>43417.613611111112</v>
      </c>
      <c r="B1775" s="7" t="str">
        <f>HYPERLINK("https://twitter.com/derechanacional","@derechanacional")</f>
        <v>@derechanacional</v>
      </c>
      <c r="C1775" s="8" t="s">
        <v>1880</v>
      </c>
      <c r="D1775" s="9" t="s">
        <v>5661</v>
      </c>
      <c r="E1775" s="10" t="str">
        <f>HYPERLINK("https://twitter.com/derechanacional/status/1062340203627638784","1062340203627638784")</f>
        <v>1062340203627638784</v>
      </c>
      <c r="F1775" s="11" t="s">
        <v>5662</v>
      </c>
      <c r="G1775" s="12"/>
      <c r="H1775" s="12"/>
      <c r="I1775" s="13">
        <v>0</v>
      </c>
      <c r="J1775" s="13">
        <v>0</v>
      </c>
      <c r="K1775" s="14" t="str">
        <f>HYPERLINK("https://mobile.twitter.com","Twitter Lite")</f>
        <v>Twitter Lite</v>
      </c>
      <c r="L1775" s="13">
        <v>12448</v>
      </c>
      <c r="M1775" s="13">
        <v>937</v>
      </c>
      <c r="N1775" s="13">
        <v>57</v>
      </c>
      <c r="O1775" s="15"/>
      <c r="P1775" s="6">
        <v>40205.043692129628</v>
      </c>
      <c r="Q1775" s="16" t="s">
        <v>44</v>
      </c>
      <c r="R1775" s="17" t="s">
        <v>1883</v>
      </c>
      <c r="S1775" s="11" t="s">
        <v>1884</v>
      </c>
      <c r="T1775" s="12"/>
      <c r="U1775" s="10" t="str">
        <f>HYPERLINK("https://pbs.twimg.com/profile_images/1003817558150131713/IX1-gpQG.jpg","View")</f>
        <v>View</v>
      </c>
    </row>
    <row r="1776" spans="1:21" ht="40.799999999999997">
      <c r="A1776" s="6">
        <v>43417.611238425925</v>
      </c>
      <c r="B1776" s="7" t="str">
        <f>HYPERLINK("https://twitter.com/vox_es","@vox_es")</f>
        <v>@vox_es</v>
      </c>
      <c r="C1776" s="8" t="s">
        <v>689</v>
      </c>
      <c r="D1776" s="9" t="s">
        <v>5663</v>
      </c>
      <c r="E1776" s="10" t="str">
        <f>HYPERLINK("https://twitter.com/vox_es/status/1062339345225605120","1062339345225605120")</f>
        <v>1062339345225605120</v>
      </c>
      <c r="F1776" s="11" t="s">
        <v>5095</v>
      </c>
      <c r="G1776" s="11" t="s">
        <v>5129</v>
      </c>
      <c r="H1776" s="12"/>
      <c r="I1776" s="13">
        <v>844</v>
      </c>
      <c r="J1776" s="13">
        <v>1398</v>
      </c>
      <c r="K1776" s="14" t="str">
        <f>HYPERLINK("https://ads.twitter.com","Twitter Ads")</f>
        <v>Twitter Ads</v>
      </c>
      <c r="L1776" s="13">
        <v>122548</v>
      </c>
      <c r="M1776" s="13">
        <v>915</v>
      </c>
      <c r="N1776" s="13">
        <v>919</v>
      </c>
      <c r="O1776" s="23" t="s">
        <v>186</v>
      </c>
      <c r="P1776" s="6">
        <v>41596.746655092589</v>
      </c>
      <c r="Q1776" s="12"/>
      <c r="R1776" s="17" t="s">
        <v>694</v>
      </c>
      <c r="S1776" s="11" t="s">
        <v>187</v>
      </c>
      <c r="T1776" s="12"/>
      <c r="U1776" s="10" t="str">
        <f>HYPERLINK("https://pbs.twimg.com/profile_images/1016653788617363456/m3b3jqW5.jpg","View")</f>
        <v>View</v>
      </c>
    </row>
    <row r="1777" spans="1:21" ht="40.799999999999997">
      <c r="A1777" s="6">
        <v>43417.610891203702</v>
      </c>
      <c r="B1777" s="7" t="str">
        <f>HYPERLINK("https://twitter.com/jaumeors","@jaumeors")</f>
        <v>@jaumeors</v>
      </c>
      <c r="C1777" s="8" t="s">
        <v>1062</v>
      </c>
      <c r="D1777" s="9" t="s">
        <v>5664</v>
      </c>
      <c r="E1777" s="10" t="str">
        <f>HYPERLINK("https://twitter.com/jaumeors/status/1062339219270631425","1062339219270631425")</f>
        <v>1062339219270631425</v>
      </c>
      <c r="F1777" s="11" t="s">
        <v>1209</v>
      </c>
      <c r="G1777" s="12"/>
      <c r="H1777" s="12"/>
      <c r="I1777" s="13">
        <v>1</v>
      </c>
      <c r="J1777" s="13">
        <v>0</v>
      </c>
      <c r="K1777" s="14" t="str">
        <f t="shared" ref="K1777:K1778" si="516">HYPERLINK("http://twitter.com/download/android","Twitter for Android")</f>
        <v>Twitter for Android</v>
      </c>
      <c r="L1777" s="13">
        <v>2320</v>
      </c>
      <c r="M1777" s="13">
        <v>1729</v>
      </c>
      <c r="N1777" s="13">
        <v>35</v>
      </c>
      <c r="O1777" s="15"/>
      <c r="P1777" s="6">
        <v>40804.792037037041</v>
      </c>
      <c r="Q1777" s="16" t="s">
        <v>527</v>
      </c>
      <c r="R1777" s="17" t="s">
        <v>1068</v>
      </c>
      <c r="S1777" s="12"/>
      <c r="T1777" s="12"/>
      <c r="U1777" s="10" t="str">
        <f>HYPERLINK("https://pbs.twimg.com/profile_images/602277285530628097/6mVOabvQ.jpg","View")</f>
        <v>View</v>
      </c>
    </row>
    <row r="1778" spans="1:21" ht="81.599999999999994">
      <c r="A1778" s="6">
        <v>43417.6096412037</v>
      </c>
      <c r="B1778" s="7" t="str">
        <f>HYPERLINK("https://twitter.com/victoriah991","@victoriah991")</f>
        <v>@victoriah991</v>
      </c>
      <c r="C1778" s="8" t="s">
        <v>5212</v>
      </c>
      <c r="D1778" s="9" t="s">
        <v>5665</v>
      </c>
      <c r="E1778" s="10" t="str">
        <f>HYPERLINK("https://twitter.com/victoriah991/status/1062338764431863808","1062338764431863808")</f>
        <v>1062338764431863808</v>
      </c>
      <c r="F1778" s="11" t="s">
        <v>5666</v>
      </c>
      <c r="G1778" s="11" t="s">
        <v>5667</v>
      </c>
      <c r="H1778" s="12"/>
      <c r="I1778" s="13">
        <v>41</v>
      </c>
      <c r="J1778" s="13">
        <v>44</v>
      </c>
      <c r="K1778" s="14" t="str">
        <f t="shared" si="516"/>
        <v>Twitter for Android</v>
      </c>
      <c r="L1778" s="13">
        <v>3464</v>
      </c>
      <c r="M1778" s="13">
        <v>2376</v>
      </c>
      <c r="N1778" s="13">
        <v>15</v>
      </c>
      <c r="O1778" s="15"/>
      <c r="P1778" s="6">
        <v>40665.539710648147</v>
      </c>
      <c r="Q1778" s="16" t="s">
        <v>5216</v>
      </c>
      <c r="R1778" s="17" t="s">
        <v>5217</v>
      </c>
      <c r="S1778" s="12"/>
      <c r="T1778" s="12"/>
      <c r="U1778" s="10" t="str">
        <f>HYPERLINK("https://pbs.twimg.com/profile_images/989944633747820544/nXHxv78S.jpg","View")</f>
        <v>View</v>
      </c>
    </row>
    <row r="1779" spans="1:21" ht="40.799999999999997">
      <c r="A1779" s="6">
        <v>43417.605509259258</v>
      </c>
      <c r="B1779" s="7" t="str">
        <f>HYPERLINK("https://twitter.com/101tvMalaga","@101tvMalaga")</f>
        <v>@101tvMalaga</v>
      </c>
      <c r="C1779" s="8" t="s">
        <v>5250</v>
      </c>
      <c r="D1779" s="9" t="s">
        <v>5251</v>
      </c>
      <c r="E1779" s="10" t="str">
        <f>HYPERLINK("https://twitter.com/101tvMalaga/status/1062337265752592385","1062337265752592385")</f>
        <v>1062337265752592385</v>
      </c>
      <c r="F1779" s="11" t="s">
        <v>5254</v>
      </c>
      <c r="G1779" s="11" t="s">
        <v>5256</v>
      </c>
      <c r="H1779" s="12"/>
      <c r="I1779" s="13">
        <v>50</v>
      </c>
      <c r="J1779" s="13">
        <v>87</v>
      </c>
      <c r="K1779" s="14" t="str">
        <f>HYPERLINK("http://twitter.com","Twitter Web Client")</f>
        <v>Twitter Web Client</v>
      </c>
      <c r="L1779" s="13">
        <v>22104</v>
      </c>
      <c r="M1779" s="13">
        <v>2196</v>
      </c>
      <c r="N1779" s="13">
        <v>253</v>
      </c>
      <c r="O1779" s="15"/>
      <c r="P1779" s="6">
        <v>40974.795300925922</v>
      </c>
      <c r="Q1779" s="16" t="s">
        <v>1677</v>
      </c>
      <c r="R1779" s="17" t="s">
        <v>5259</v>
      </c>
      <c r="S1779" s="11" t="s">
        <v>5260</v>
      </c>
      <c r="T1779" s="12"/>
      <c r="U1779" s="10" t="str">
        <f>HYPERLINK("https://pbs.twimg.com/profile_images/1054285654849474561/7k3H33CU.jpg","View")</f>
        <v>View</v>
      </c>
    </row>
    <row r="1780" spans="1:21" ht="40.799999999999997">
      <c r="A1780" s="6">
        <v>43417.603634259256</v>
      </c>
      <c r="B1780" s="7" t="str">
        <f>HYPERLINK("https://twitter.com/Vicariusx","@Vicariusx")</f>
        <v>@Vicariusx</v>
      </c>
      <c r="C1780" s="8" t="s">
        <v>5668</v>
      </c>
      <c r="D1780" s="9" t="s">
        <v>5669</v>
      </c>
      <c r="E1780" s="10" t="str">
        <f>HYPERLINK("https://twitter.com/Vicariusx/status/1062336589387440128","1062336589387440128")</f>
        <v>1062336589387440128</v>
      </c>
      <c r="F1780" s="12"/>
      <c r="G1780" s="12"/>
      <c r="H1780" s="12"/>
      <c r="I1780" s="13">
        <v>2</v>
      </c>
      <c r="J1780" s="13">
        <v>10</v>
      </c>
      <c r="K1780" s="14" t="str">
        <f>HYPERLINK("http://twitter.com/download/android","Twitter for Android")</f>
        <v>Twitter for Android</v>
      </c>
      <c r="L1780" s="13">
        <v>623</v>
      </c>
      <c r="M1780" s="13">
        <v>2186</v>
      </c>
      <c r="N1780" s="13">
        <v>8</v>
      </c>
      <c r="O1780" s="15"/>
      <c r="P1780" s="6">
        <v>40766.679224537038</v>
      </c>
      <c r="Q1780" s="16" t="s">
        <v>5670</v>
      </c>
      <c r="R1780" s="17" t="s">
        <v>5671</v>
      </c>
      <c r="S1780" s="12"/>
      <c r="T1780" s="12"/>
      <c r="U1780" s="10" t="str">
        <f>HYPERLINK("https://pbs.twimg.com/profile_images/1008011225576468486/eA742x-u.jpg","View")</f>
        <v>View</v>
      </c>
    </row>
    <row r="1781" spans="1:21" ht="30.6">
      <c r="A1781" s="6">
        <v>43417.601018518515</v>
      </c>
      <c r="B1781" s="7" t="str">
        <f>HYPERLINK("https://twitter.com/Charran_Esp","@Charran_Esp")</f>
        <v>@Charran_Esp</v>
      </c>
      <c r="C1781" s="8" t="s">
        <v>3232</v>
      </c>
      <c r="D1781" s="9" t="s">
        <v>5672</v>
      </c>
      <c r="E1781" s="10" t="str">
        <f>HYPERLINK("https://twitter.com/Charran_Esp/status/1062335639826432001","1062335639826432001")</f>
        <v>1062335639826432001</v>
      </c>
      <c r="F1781" s="11" t="s">
        <v>5673</v>
      </c>
      <c r="G1781" s="12"/>
      <c r="H1781" s="12"/>
      <c r="I1781" s="13">
        <v>0</v>
      </c>
      <c r="J1781" s="13">
        <v>0</v>
      </c>
      <c r="K1781" s="14" t="str">
        <f>HYPERLINK("https://ifttt.com","IFTTT")</f>
        <v>IFTTT</v>
      </c>
      <c r="L1781" s="13">
        <v>59</v>
      </c>
      <c r="M1781" s="13">
        <v>71</v>
      </c>
      <c r="N1781" s="13">
        <v>0</v>
      </c>
      <c r="O1781" s="15"/>
      <c r="P1781" s="6">
        <v>42915.451712962968</v>
      </c>
      <c r="Q1781" s="16" t="s">
        <v>66</v>
      </c>
      <c r="R1781" s="17" t="s">
        <v>3235</v>
      </c>
      <c r="S1781" s="12"/>
      <c r="T1781" s="12"/>
      <c r="U1781" s="10" t="str">
        <f>HYPERLINK("https://pbs.twimg.com/profile_images/880349188244078592/vsdcBU4x.jpg","View")</f>
        <v>View</v>
      </c>
    </row>
    <row r="1782" spans="1:21" ht="20.399999999999999">
      <c r="A1782" s="6">
        <v>43417.599907407406</v>
      </c>
      <c r="B1782" s="7" t="str">
        <f>HYPERLINK("https://twitter.com/juandie31977993","@juandie31977993")</f>
        <v>@juandie31977993</v>
      </c>
      <c r="C1782" s="8" t="s">
        <v>5674</v>
      </c>
      <c r="D1782" s="9" t="s">
        <v>5675</v>
      </c>
      <c r="E1782" s="10" t="str">
        <f>HYPERLINK("https://twitter.com/juandie31977993/status/1062335237160648709","1062335237160648709")</f>
        <v>1062335237160648709</v>
      </c>
      <c r="F1782" s="11" t="s">
        <v>4224</v>
      </c>
      <c r="G1782" s="12"/>
      <c r="H1782" s="12"/>
      <c r="I1782" s="13">
        <v>0</v>
      </c>
      <c r="J1782" s="13">
        <v>3</v>
      </c>
      <c r="K1782" s="14" t="str">
        <f>HYPERLINK("http://twitter.com/download/android","Twitter for Android")</f>
        <v>Twitter for Android</v>
      </c>
      <c r="L1782" s="13">
        <v>74</v>
      </c>
      <c r="M1782" s="13">
        <v>228</v>
      </c>
      <c r="N1782" s="13">
        <v>0</v>
      </c>
      <c r="O1782" s="15"/>
      <c r="P1782" s="6">
        <v>43293.982060185182</v>
      </c>
      <c r="Q1782" s="12"/>
      <c r="R1782" s="17" t="s">
        <v>5676</v>
      </c>
      <c r="S1782" s="12"/>
      <c r="T1782" s="12"/>
      <c r="U1782" s="10" t="str">
        <f>HYPERLINK("https://pbs.twimg.com/profile_images/1053358901935136768/lMFCz9MI.jpg","View")</f>
        <v>View</v>
      </c>
    </row>
    <row r="1783" spans="1:21" ht="40.799999999999997">
      <c r="A1783" s="6">
        <v>43417.598680555559</v>
      </c>
      <c r="B1783" s="7" t="str">
        <f>HYPERLINK("https://twitter.com/ESdiario_com","@ESdiario_com")</f>
        <v>@ESdiario_com</v>
      </c>
      <c r="C1783" s="8" t="s">
        <v>3240</v>
      </c>
      <c r="D1783" s="9" t="s">
        <v>5677</v>
      </c>
      <c r="E1783" s="10" t="str">
        <f>HYPERLINK("https://twitter.com/ESdiario_com/status/1062334792744792064","1062334792744792064")</f>
        <v>1062334792744792064</v>
      </c>
      <c r="F1783" s="11" t="s">
        <v>5673</v>
      </c>
      <c r="G1783" s="12"/>
      <c r="H1783" s="12"/>
      <c r="I1783" s="13">
        <v>1</v>
      </c>
      <c r="J1783" s="13">
        <v>0</v>
      </c>
      <c r="K1783" s="14" t="str">
        <f>HYPERLINK("http://twitter.com","Twitter Web Client")</f>
        <v>Twitter Web Client</v>
      </c>
      <c r="L1783" s="13">
        <v>30818</v>
      </c>
      <c r="M1783" s="13">
        <v>706</v>
      </c>
      <c r="N1783" s="13">
        <v>494</v>
      </c>
      <c r="O1783" s="15"/>
      <c r="P1783" s="6">
        <v>40584.500949074078</v>
      </c>
      <c r="Q1783" s="16" t="s">
        <v>644</v>
      </c>
      <c r="R1783" s="17" t="s">
        <v>3243</v>
      </c>
      <c r="S1783" s="11" t="s">
        <v>3244</v>
      </c>
      <c r="T1783" s="12"/>
      <c r="U1783" s="10" t="str">
        <f>HYPERLINK("https://pbs.twimg.com/profile_images/708363281308753920/7qh3akOb.jpg","View")</f>
        <v>View</v>
      </c>
    </row>
    <row r="1784" spans="1:21" ht="20.399999999999999">
      <c r="A1784" s="6">
        <v>43417.592615740738</v>
      </c>
      <c r="B1784" s="7" t="str">
        <f t="shared" ref="B1784:B1785" si="517">HYPERLINK("https://twitter.com/juanitamasforma","@juanitamasforma")</f>
        <v>@juanitamasforma</v>
      </c>
      <c r="C1784" s="8" t="s">
        <v>5678</v>
      </c>
      <c r="D1784" s="9" t="s">
        <v>5675</v>
      </c>
      <c r="E1784" s="10" t="str">
        <f>HYPERLINK("https://twitter.com/juanitamasforma/status/1062332594816212992","1062332594816212992")</f>
        <v>1062332594816212992</v>
      </c>
      <c r="F1784" s="11" t="s">
        <v>4224</v>
      </c>
      <c r="G1784" s="12"/>
      <c r="H1784" s="12"/>
      <c r="I1784" s="13">
        <v>0</v>
      </c>
      <c r="J1784" s="13">
        <v>0</v>
      </c>
      <c r="K1784" s="14" t="str">
        <f t="shared" ref="K1784:K1785" si="518">HYPERLINK("http://twitter.com/download/android","Twitter for Android")</f>
        <v>Twitter for Android</v>
      </c>
      <c r="L1784" s="13">
        <v>13</v>
      </c>
      <c r="M1784" s="13">
        <v>70</v>
      </c>
      <c r="N1784" s="13">
        <v>0</v>
      </c>
      <c r="O1784" s="15"/>
      <c r="P1784" s="6">
        <v>43240.870057870372</v>
      </c>
      <c r="Q1784" s="12"/>
      <c r="R1784" s="21"/>
      <c r="S1784" s="12"/>
      <c r="T1784" s="12"/>
      <c r="U1784" s="23" t="s">
        <v>307</v>
      </c>
    </row>
    <row r="1785" spans="1:21" ht="20.399999999999999">
      <c r="A1785" s="6">
        <v>43417.592337962968</v>
      </c>
      <c r="B1785" s="7" t="str">
        <f t="shared" si="517"/>
        <v>@juanitamasforma</v>
      </c>
      <c r="C1785" s="8" t="s">
        <v>5678</v>
      </c>
      <c r="D1785" s="9" t="s">
        <v>5675</v>
      </c>
      <c r="E1785" s="10" t="str">
        <f>HYPERLINK("https://twitter.com/juanitamasforma/status/1062332494995972097","1062332494995972097")</f>
        <v>1062332494995972097</v>
      </c>
      <c r="F1785" s="11" t="s">
        <v>4224</v>
      </c>
      <c r="G1785" s="12"/>
      <c r="H1785" s="12"/>
      <c r="I1785" s="13">
        <v>0</v>
      </c>
      <c r="J1785" s="13">
        <v>0</v>
      </c>
      <c r="K1785" s="14" t="str">
        <f t="shared" si="518"/>
        <v>Twitter for Android</v>
      </c>
      <c r="L1785" s="13">
        <v>13</v>
      </c>
      <c r="M1785" s="13">
        <v>70</v>
      </c>
      <c r="N1785" s="13">
        <v>0</v>
      </c>
      <c r="O1785" s="15"/>
      <c r="P1785" s="6">
        <v>43240.870057870372</v>
      </c>
      <c r="Q1785" s="12"/>
      <c r="R1785" s="21"/>
      <c r="S1785" s="12"/>
      <c r="T1785" s="12"/>
      <c r="U1785" s="23" t="s">
        <v>307</v>
      </c>
    </row>
    <row r="1786" spans="1:21" ht="13.2">
      <c r="A1786" s="19"/>
      <c r="B1786" s="18"/>
      <c r="C1786" s="18"/>
      <c r="D1786" s="20"/>
      <c r="E1786" s="15"/>
      <c r="F1786" s="12"/>
      <c r="G1786" s="12"/>
      <c r="H1786" s="12"/>
      <c r="I1786" s="15"/>
      <c r="J1786" s="15"/>
      <c r="K1786" s="12"/>
      <c r="L1786" s="15"/>
      <c r="M1786" s="15"/>
      <c r="N1786" s="15"/>
      <c r="O1786" s="15"/>
      <c r="P1786" s="19"/>
      <c r="Q1786" s="12"/>
      <c r="R1786" s="21"/>
      <c r="S1786" s="12"/>
      <c r="T1786" s="12"/>
      <c r="U1786" s="15"/>
    </row>
    <row r="1787" spans="1:21" ht="13.2">
      <c r="A1787" s="22"/>
      <c r="B1787" s="18"/>
      <c r="C1787" s="18"/>
      <c r="D1787" s="20"/>
      <c r="E1787" s="15"/>
      <c r="F1787" s="15"/>
      <c r="G1787" s="15"/>
      <c r="H1787" s="15"/>
      <c r="I1787" s="15"/>
      <c r="J1787" s="15"/>
      <c r="K1787" s="15"/>
      <c r="L1787" s="15"/>
      <c r="M1787" s="15"/>
      <c r="N1787" s="15"/>
      <c r="O1787" s="15"/>
      <c r="P1787" s="15"/>
      <c r="Q1787" s="12"/>
      <c r="R1787" s="21"/>
      <c r="S1787" s="15"/>
      <c r="T1787" s="15"/>
      <c r="U1787" s="15"/>
    </row>
    <row r="1788" spans="1:21" ht="13.2">
      <c r="A1788" s="22"/>
      <c r="B1788" s="18"/>
      <c r="C1788" s="18"/>
      <c r="D1788" s="20"/>
      <c r="E1788" s="15"/>
      <c r="F1788" s="15"/>
      <c r="G1788" s="15"/>
      <c r="H1788" s="15"/>
      <c r="I1788" s="15"/>
      <c r="J1788" s="15"/>
      <c r="K1788" s="15"/>
      <c r="L1788" s="15"/>
      <c r="M1788" s="15"/>
      <c r="N1788" s="15"/>
      <c r="O1788" s="15"/>
      <c r="P1788" s="15"/>
      <c r="Q1788" s="12"/>
      <c r="R1788" s="21"/>
      <c r="S1788" s="15"/>
      <c r="T1788" s="15"/>
      <c r="U1788" s="15"/>
    </row>
    <row r="1789" spans="1:21" ht="13.2">
      <c r="A1789" s="22"/>
      <c r="B1789" s="18"/>
      <c r="C1789" s="18"/>
      <c r="D1789" s="20"/>
      <c r="E1789" s="15"/>
      <c r="F1789" s="15"/>
      <c r="G1789" s="15"/>
      <c r="H1789" s="15"/>
      <c r="I1789" s="15"/>
      <c r="J1789" s="15"/>
      <c r="K1789" s="15"/>
      <c r="L1789" s="15"/>
      <c r="M1789" s="15"/>
      <c r="N1789" s="15"/>
      <c r="O1789" s="15"/>
      <c r="P1789" s="15"/>
      <c r="Q1789" s="12"/>
      <c r="R1789" s="21"/>
      <c r="S1789" s="15"/>
      <c r="T1789" s="15"/>
      <c r="U1789" s="15"/>
    </row>
    <row r="1790" spans="1:21" ht="13.2">
      <c r="A1790" s="22"/>
      <c r="B1790" s="18"/>
      <c r="C1790" s="18"/>
      <c r="D1790" s="20"/>
      <c r="E1790" s="15"/>
      <c r="F1790" s="15"/>
      <c r="G1790" s="15"/>
      <c r="H1790" s="15"/>
      <c r="I1790" s="15"/>
      <c r="J1790" s="15"/>
      <c r="K1790" s="15"/>
      <c r="L1790" s="15"/>
      <c r="M1790" s="15"/>
      <c r="N1790" s="15"/>
      <c r="O1790" s="15"/>
      <c r="P1790" s="15"/>
      <c r="Q1790" s="12"/>
      <c r="R1790" s="21"/>
      <c r="S1790" s="15"/>
      <c r="T1790" s="15"/>
      <c r="U1790" s="15"/>
    </row>
    <row r="1791" spans="1:21" ht="13.2">
      <c r="A1791" s="22"/>
      <c r="B1791" s="18"/>
      <c r="C1791" s="18"/>
      <c r="D1791" s="20"/>
      <c r="E1791" s="15"/>
      <c r="F1791" s="15"/>
      <c r="G1791" s="15"/>
      <c r="H1791" s="15"/>
      <c r="I1791" s="15"/>
      <c r="J1791" s="15"/>
      <c r="K1791" s="15"/>
      <c r="L1791" s="15"/>
      <c r="M1791" s="15"/>
      <c r="N1791" s="15"/>
      <c r="O1791" s="15"/>
      <c r="P1791" s="15"/>
      <c r="Q1791" s="12"/>
      <c r="R1791" s="21"/>
      <c r="S1791" s="15"/>
      <c r="T1791" s="15"/>
      <c r="U1791" s="15"/>
    </row>
    <row r="1792" spans="1:21" ht="13.2">
      <c r="A1792" s="22"/>
      <c r="B1792" s="18"/>
      <c r="C1792" s="18"/>
      <c r="D1792" s="20"/>
      <c r="E1792" s="15"/>
      <c r="F1792" s="15"/>
      <c r="G1792" s="15"/>
      <c r="H1792" s="15"/>
      <c r="I1792" s="15"/>
      <c r="J1792" s="15"/>
      <c r="K1792" s="15"/>
      <c r="L1792" s="15"/>
      <c r="M1792" s="15"/>
      <c r="N1792" s="15"/>
      <c r="O1792" s="15"/>
      <c r="P1792" s="15"/>
      <c r="Q1792" s="12"/>
      <c r="R1792" s="21"/>
      <c r="S1792" s="15"/>
      <c r="T1792" s="15"/>
      <c r="U1792" s="15"/>
    </row>
    <row r="1793" spans="1:21" ht="13.2">
      <c r="A1793" s="23"/>
      <c r="B1793" s="18"/>
      <c r="C1793" s="18"/>
      <c r="D1793" s="20"/>
      <c r="E1793" s="15"/>
      <c r="F1793" s="15"/>
      <c r="G1793" s="15"/>
      <c r="H1793" s="15"/>
      <c r="I1793" s="15"/>
      <c r="J1793" s="15"/>
      <c r="K1793" s="15"/>
      <c r="L1793" s="15"/>
      <c r="M1793" s="15"/>
      <c r="N1793" s="15"/>
      <c r="O1793" s="15"/>
      <c r="P1793" s="15"/>
      <c r="Q1793" s="12"/>
      <c r="R1793" s="21"/>
      <c r="S1793" s="15"/>
      <c r="T1793" s="15"/>
      <c r="U1793" s="15"/>
    </row>
    <row r="1794" spans="1:21" ht="13.2">
      <c r="A1794" s="22"/>
      <c r="B1794" s="18"/>
      <c r="C1794" s="18"/>
      <c r="D1794" s="20"/>
      <c r="E1794" s="15"/>
      <c r="F1794" s="15"/>
      <c r="G1794" s="15"/>
      <c r="H1794" s="15"/>
      <c r="I1794" s="15"/>
      <c r="J1794" s="15"/>
      <c r="K1794" s="15"/>
      <c r="L1794" s="15"/>
      <c r="M1794" s="15"/>
      <c r="N1794" s="15"/>
      <c r="O1794" s="15"/>
      <c r="P1794" s="15"/>
      <c r="Q1794" s="12"/>
      <c r="R1794" s="21"/>
      <c r="S1794" s="15"/>
      <c r="T1794" s="15"/>
      <c r="U1794" s="15"/>
    </row>
    <row r="1795" spans="1:21" ht="13.2">
      <c r="A1795" s="22"/>
      <c r="B1795" s="18"/>
      <c r="C1795" s="18"/>
      <c r="D1795" s="20"/>
      <c r="E1795" s="15"/>
      <c r="F1795" s="15"/>
      <c r="G1795" s="15"/>
      <c r="H1795" s="15"/>
      <c r="I1795" s="15"/>
      <c r="J1795" s="15"/>
      <c r="K1795" s="15"/>
      <c r="L1795" s="15"/>
      <c r="M1795" s="15"/>
      <c r="N1795" s="15"/>
      <c r="O1795" s="15"/>
      <c r="P1795" s="15"/>
      <c r="Q1795" s="12"/>
      <c r="R1795" s="21"/>
      <c r="S1795" s="15"/>
      <c r="T1795" s="15"/>
      <c r="U1795" s="15"/>
    </row>
    <row r="1796" spans="1:21" ht="13.2">
      <c r="A1796" s="22"/>
      <c r="B1796" s="18"/>
      <c r="C1796" s="18"/>
      <c r="D1796" s="20"/>
      <c r="E1796" s="15"/>
      <c r="F1796" s="15"/>
      <c r="G1796" s="15"/>
      <c r="H1796" s="15"/>
      <c r="I1796" s="15"/>
      <c r="J1796" s="15"/>
      <c r="K1796" s="15"/>
      <c r="L1796" s="15"/>
      <c r="M1796" s="15"/>
      <c r="N1796" s="15"/>
      <c r="O1796" s="15"/>
      <c r="P1796" s="15"/>
      <c r="Q1796" s="12"/>
      <c r="R1796" s="21"/>
      <c r="S1796" s="15"/>
      <c r="T1796" s="15"/>
      <c r="U1796" s="15"/>
    </row>
    <row r="1797" spans="1:21" ht="13.2">
      <c r="A1797" s="22"/>
      <c r="B1797" s="18"/>
      <c r="C1797" s="18"/>
      <c r="D1797" s="20"/>
      <c r="E1797" s="15"/>
      <c r="F1797" s="15"/>
      <c r="G1797" s="15"/>
      <c r="H1797" s="15"/>
      <c r="I1797" s="15"/>
      <c r="J1797" s="15"/>
      <c r="K1797" s="15"/>
      <c r="L1797" s="15"/>
      <c r="M1797" s="15"/>
      <c r="N1797" s="15"/>
      <c r="O1797" s="15"/>
      <c r="P1797" s="15"/>
      <c r="Q1797" s="12"/>
      <c r="R1797" s="21"/>
      <c r="S1797" s="15"/>
      <c r="T1797" s="15"/>
      <c r="U1797" s="15"/>
    </row>
    <row r="1798" spans="1:21" ht="13.2">
      <c r="A1798" s="22"/>
      <c r="B1798" s="18"/>
      <c r="C1798" s="18"/>
      <c r="D1798" s="20"/>
      <c r="E1798" s="15"/>
      <c r="F1798" s="15"/>
      <c r="G1798" s="15"/>
      <c r="H1798" s="15"/>
      <c r="I1798" s="15"/>
      <c r="J1798" s="15"/>
      <c r="K1798" s="15"/>
      <c r="L1798" s="15"/>
      <c r="M1798" s="15"/>
      <c r="N1798" s="15"/>
      <c r="O1798" s="15"/>
      <c r="P1798" s="15"/>
      <c r="Q1798" s="12"/>
      <c r="R1798" s="21"/>
      <c r="S1798" s="15"/>
      <c r="T1798" s="15"/>
      <c r="U1798" s="15"/>
    </row>
    <row r="1799" spans="1:21" ht="13.2">
      <c r="A1799" s="22"/>
      <c r="B1799" s="18"/>
      <c r="C1799" s="18"/>
      <c r="D1799" s="20"/>
      <c r="E1799" s="15"/>
      <c r="F1799" s="15"/>
      <c r="G1799" s="15"/>
      <c r="H1799" s="15"/>
      <c r="I1799" s="15"/>
      <c r="J1799" s="15"/>
      <c r="K1799" s="15"/>
      <c r="L1799" s="15"/>
      <c r="M1799" s="15"/>
      <c r="N1799" s="15"/>
      <c r="O1799" s="15"/>
      <c r="P1799" s="15"/>
      <c r="Q1799" s="12"/>
      <c r="R1799" s="21"/>
      <c r="S1799" s="15"/>
      <c r="T1799" s="15"/>
      <c r="U1799" s="15"/>
    </row>
    <row r="1800" spans="1:21" ht="13.2">
      <c r="A1800" s="22"/>
      <c r="B1800" s="18"/>
      <c r="C1800" s="18"/>
      <c r="D1800" s="20"/>
      <c r="E1800" s="15"/>
      <c r="F1800" s="15"/>
      <c r="G1800" s="15"/>
      <c r="H1800" s="15"/>
      <c r="I1800" s="15"/>
      <c r="J1800" s="15"/>
      <c r="K1800" s="15"/>
      <c r="L1800" s="15"/>
      <c r="M1800" s="15"/>
      <c r="N1800" s="15"/>
      <c r="O1800" s="15"/>
      <c r="P1800" s="15"/>
      <c r="Q1800" s="12"/>
      <c r="R1800" s="21"/>
      <c r="S1800" s="15"/>
      <c r="T1800" s="15"/>
      <c r="U1800" s="15"/>
    </row>
    <row r="1801" spans="1:21" ht="13.2">
      <c r="A1801" s="22"/>
      <c r="B1801" s="18"/>
      <c r="C1801" s="18"/>
      <c r="D1801" s="20"/>
      <c r="E1801" s="15"/>
      <c r="F1801" s="15"/>
      <c r="G1801" s="15"/>
      <c r="H1801" s="15"/>
      <c r="I1801" s="15"/>
      <c r="J1801" s="15"/>
      <c r="K1801" s="15"/>
      <c r="L1801" s="15"/>
      <c r="M1801" s="15"/>
      <c r="N1801" s="15"/>
      <c r="O1801" s="15"/>
      <c r="P1801" s="15"/>
      <c r="Q1801" s="12"/>
      <c r="R1801" s="21"/>
      <c r="S1801" s="15"/>
      <c r="T1801" s="15"/>
      <c r="U1801" s="15"/>
    </row>
    <row r="1802" spans="1:21" ht="13.2">
      <c r="A1802" s="22"/>
      <c r="B1802" s="18"/>
      <c r="C1802" s="18"/>
      <c r="D1802" s="20"/>
      <c r="E1802" s="15"/>
      <c r="F1802" s="15"/>
      <c r="G1802" s="15"/>
      <c r="H1802" s="15"/>
      <c r="I1802" s="15"/>
      <c r="J1802" s="15"/>
      <c r="K1802" s="15"/>
      <c r="L1802" s="15"/>
      <c r="M1802" s="15"/>
      <c r="N1802" s="15"/>
      <c r="O1802" s="15"/>
      <c r="P1802" s="15"/>
      <c r="Q1802" s="12"/>
      <c r="R1802" s="21"/>
      <c r="S1802" s="15"/>
      <c r="T1802" s="15"/>
      <c r="U1802" s="15"/>
    </row>
    <row r="1803" spans="1:21" ht="13.2">
      <c r="A1803" s="22"/>
      <c r="B1803" s="18"/>
      <c r="C1803" s="18"/>
      <c r="D1803" s="20"/>
      <c r="E1803" s="15"/>
      <c r="F1803" s="15"/>
      <c r="G1803" s="15"/>
      <c r="H1803" s="15"/>
      <c r="I1803" s="15"/>
      <c r="J1803" s="15"/>
      <c r="K1803" s="15"/>
      <c r="L1803" s="15"/>
      <c r="M1803" s="15"/>
      <c r="N1803" s="15"/>
      <c r="O1803" s="15"/>
      <c r="P1803" s="15"/>
      <c r="Q1803" s="12"/>
      <c r="R1803" s="21"/>
      <c r="S1803" s="15"/>
      <c r="T1803" s="15"/>
      <c r="U1803" s="15"/>
    </row>
    <row r="1804" spans="1:21" ht="13.2">
      <c r="A1804" s="22"/>
      <c r="B1804" s="18"/>
      <c r="C1804" s="18"/>
      <c r="D1804" s="20"/>
      <c r="E1804" s="15"/>
      <c r="F1804" s="15"/>
      <c r="G1804" s="15"/>
      <c r="H1804" s="15"/>
      <c r="I1804" s="15"/>
      <c r="J1804" s="15"/>
      <c r="K1804" s="15"/>
      <c r="L1804" s="15"/>
      <c r="M1804" s="15"/>
      <c r="N1804" s="15"/>
      <c r="O1804" s="15"/>
      <c r="P1804" s="15"/>
      <c r="Q1804" s="12"/>
      <c r="R1804" s="21"/>
      <c r="S1804" s="15"/>
      <c r="T1804" s="15"/>
      <c r="U1804" s="15"/>
    </row>
    <row r="1805" spans="1:21" ht="13.2">
      <c r="A1805" s="22"/>
      <c r="B1805" s="18"/>
      <c r="C1805" s="18"/>
      <c r="D1805" s="20"/>
      <c r="E1805" s="15"/>
      <c r="F1805" s="15"/>
      <c r="G1805" s="15"/>
      <c r="H1805" s="15"/>
      <c r="I1805" s="15"/>
      <c r="J1805" s="15"/>
      <c r="K1805" s="15"/>
      <c r="L1805" s="15"/>
      <c r="M1805" s="15"/>
      <c r="N1805" s="15"/>
      <c r="O1805" s="15"/>
      <c r="P1805" s="15"/>
      <c r="Q1805" s="12"/>
      <c r="R1805" s="21"/>
      <c r="S1805" s="15"/>
      <c r="T1805" s="15"/>
      <c r="U1805" s="15"/>
    </row>
    <row r="1806" spans="1:21" ht="13.2">
      <c r="A1806" s="22"/>
      <c r="B1806" s="18"/>
      <c r="C1806" s="18"/>
      <c r="D1806" s="20"/>
      <c r="E1806" s="15"/>
      <c r="F1806" s="15"/>
      <c r="G1806" s="15"/>
      <c r="H1806" s="15"/>
      <c r="I1806" s="15"/>
      <c r="J1806" s="15"/>
      <c r="K1806" s="15"/>
      <c r="L1806" s="15"/>
      <c r="M1806" s="15"/>
      <c r="N1806" s="15"/>
      <c r="O1806" s="15"/>
      <c r="P1806" s="15"/>
      <c r="Q1806" s="12"/>
      <c r="R1806" s="21"/>
      <c r="S1806" s="15"/>
      <c r="T1806" s="15"/>
      <c r="U1806" s="15"/>
    </row>
    <row r="1807" spans="1:21" ht="13.2">
      <c r="A1807" s="22"/>
      <c r="B1807" s="18"/>
      <c r="C1807" s="18"/>
      <c r="D1807" s="20"/>
      <c r="E1807" s="15"/>
      <c r="F1807" s="15"/>
      <c r="G1807" s="15"/>
      <c r="H1807" s="15"/>
      <c r="I1807" s="15"/>
      <c r="J1807" s="15"/>
      <c r="K1807" s="15"/>
      <c r="L1807" s="15"/>
      <c r="M1807" s="15"/>
      <c r="N1807" s="15"/>
      <c r="O1807" s="15"/>
      <c r="P1807" s="15"/>
      <c r="Q1807" s="12"/>
      <c r="R1807" s="21"/>
      <c r="S1807" s="15"/>
      <c r="T1807" s="15"/>
      <c r="U1807" s="15"/>
    </row>
    <row r="1808" spans="1:21" ht="13.2">
      <c r="A1808" s="22"/>
      <c r="B1808" s="18"/>
      <c r="C1808" s="18"/>
      <c r="D1808" s="20"/>
      <c r="E1808" s="15"/>
      <c r="F1808" s="15"/>
      <c r="G1808" s="15"/>
      <c r="H1808" s="15"/>
      <c r="I1808" s="15"/>
      <c r="J1808" s="15"/>
      <c r="K1808" s="15"/>
      <c r="L1808" s="15"/>
      <c r="M1808" s="15"/>
      <c r="N1808" s="15"/>
      <c r="O1808" s="15"/>
      <c r="P1808" s="15"/>
      <c r="Q1808" s="12"/>
      <c r="R1808" s="21"/>
      <c r="S1808" s="15"/>
      <c r="T1808" s="15"/>
      <c r="U1808" s="15"/>
    </row>
  </sheetData>
  <mergeCells count="2">
    <mergeCell ref="A1:K1"/>
    <mergeCell ref="L1:U1"/>
  </mergeCells>
  <hyperlinks>
    <hyperlink ref="F4" r:id="rId1" xr:uid="{00000000-0004-0000-0300-000000000000}"/>
    <hyperlink ref="G4" r:id="rId2" xr:uid="{00000000-0004-0000-0300-000001000000}"/>
    <hyperlink ref="F5" r:id="rId3" location="ns_campaign=rrss&amp;ns_mchannel=abc-es&amp;ns_source=fb&amp;ns_linkname=cm-general&amp;ns_fee=0" xr:uid="{00000000-0004-0000-0300-000002000000}"/>
    <hyperlink ref="G6" r:id="rId4" xr:uid="{00000000-0004-0000-0300-000003000000}"/>
    <hyperlink ref="F7" r:id="rId5" xr:uid="{00000000-0004-0000-0300-000004000000}"/>
    <hyperlink ref="G7" r:id="rId6" xr:uid="{00000000-0004-0000-0300-000005000000}"/>
    <hyperlink ref="S7" r:id="rId7" xr:uid="{00000000-0004-0000-0300-000006000000}"/>
    <hyperlink ref="G8" r:id="rId8" xr:uid="{00000000-0004-0000-0300-000007000000}"/>
    <hyperlink ref="F10" r:id="rId9" xr:uid="{00000000-0004-0000-0300-000008000000}"/>
    <hyperlink ref="F11" r:id="rId10" xr:uid="{00000000-0004-0000-0300-000009000000}"/>
    <hyperlink ref="S11" r:id="rId11" xr:uid="{00000000-0004-0000-0300-00000A000000}"/>
    <hyperlink ref="G12" r:id="rId12" xr:uid="{00000000-0004-0000-0300-00000B000000}"/>
    <hyperlink ref="F15" r:id="rId13" xr:uid="{00000000-0004-0000-0300-00000C000000}"/>
    <hyperlink ref="G15" r:id="rId14" xr:uid="{00000000-0004-0000-0300-00000D000000}"/>
    <hyperlink ref="F16" r:id="rId15" xr:uid="{00000000-0004-0000-0300-00000E000000}"/>
    <hyperlink ref="G19" r:id="rId16" xr:uid="{00000000-0004-0000-0300-00000F000000}"/>
    <hyperlink ref="F22" r:id="rId17" xr:uid="{00000000-0004-0000-0300-000010000000}"/>
    <hyperlink ref="G22" r:id="rId18" xr:uid="{00000000-0004-0000-0300-000011000000}"/>
    <hyperlink ref="G23" r:id="rId19" xr:uid="{00000000-0004-0000-0300-000012000000}"/>
    <hyperlink ref="S23" r:id="rId20" xr:uid="{00000000-0004-0000-0300-000013000000}"/>
    <hyperlink ref="G25" r:id="rId21" xr:uid="{00000000-0004-0000-0300-000014000000}"/>
    <hyperlink ref="F26" r:id="rId22" xr:uid="{00000000-0004-0000-0300-000015000000}"/>
    <hyperlink ref="F28" r:id="rId23" xr:uid="{00000000-0004-0000-0300-000016000000}"/>
    <hyperlink ref="S28" r:id="rId24" xr:uid="{00000000-0004-0000-0300-000017000000}"/>
    <hyperlink ref="F30" r:id="rId25" location="ns_campaign=rrss-inducido&amp;ns_mchannel=abc-es&amp;ns_source=tw&amp;ns_linkname=noticia-video&amp;ns_fee=0" xr:uid="{00000000-0004-0000-0300-000018000000}"/>
    <hyperlink ref="F32" r:id="rId26" xr:uid="{00000000-0004-0000-0300-000019000000}"/>
    <hyperlink ref="G32" r:id="rId27" xr:uid="{00000000-0004-0000-0300-00001A000000}"/>
    <hyperlink ref="F34" r:id="rId28" xr:uid="{00000000-0004-0000-0300-00001B000000}"/>
    <hyperlink ref="S34" r:id="rId29" xr:uid="{00000000-0004-0000-0300-00001C000000}"/>
    <hyperlink ref="F36" r:id="rId30" xr:uid="{00000000-0004-0000-0300-00001D000000}"/>
    <hyperlink ref="G36" r:id="rId31" xr:uid="{00000000-0004-0000-0300-00001E000000}"/>
    <hyperlink ref="G37" r:id="rId32" xr:uid="{00000000-0004-0000-0300-00001F000000}"/>
    <hyperlink ref="G39" r:id="rId33" xr:uid="{00000000-0004-0000-0300-000020000000}"/>
    <hyperlink ref="F43" r:id="rId34" xr:uid="{00000000-0004-0000-0300-000021000000}"/>
    <hyperlink ref="G43" r:id="rId35" xr:uid="{00000000-0004-0000-0300-000022000000}"/>
    <hyperlink ref="S43" r:id="rId36" xr:uid="{00000000-0004-0000-0300-000023000000}"/>
    <hyperlink ref="G44" r:id="rId37" xr:uid="{00000000-0004-0000-0300-000024000000}"/>
    <hyperlink ref="S44" r:id="rId38" xr:uid="{00000000-0004-0000-0300-000025000000}"/>
    <hyperlink ref="F46" r:id="rId39" xr:uid="{00000000-0004-0000-0300-000026000000}"/>
    <hyperlink ref="S46" r:id="rId40" xr:uid="{00000000-0004-0000-0300-000027000000}"/>
    <hyperlink ref="F47" r:id="rId41" xr:uid="{00000000-0004-0000-0300-000028000000}"/>
    <hyperlink ref="S47" r:id="rId42" xr:uid="{00000000-0004-0000-0300-000029000000}"/>
    <hyperlink ref="G48" r:id="rId43" xr:uid="{00000000-0004-0000-0300-00002A000000}"/>
    <hyperlink ref="F51" r:id="rId44" xr:uid="{00000000-0004-0000-0300-00002B000000}"/>
    <hyperlink ref="S51" r:id="rId45" xr:uid="{00000000-0004-0000-0300-00002C000000}"/>
    <hyperlink ref="F53" r:id="rId46" location="ns_campaign=amp-rrss-inducido&amp;ns_mchannel=abc-es&amp;ns_source=tw&amp;ns_linkname=noticia.foto&amp;ns_fee=0" xr:uid="{00000000-0004-0000-0300-00002D000000}"/>
    <hyperlink ref="F56" r:id="rId47" xr:uid="{00000000-0004-0000-0300-00002E000000}"/>
    <hyperlink ref="S56" r:id="rId48" xr:uid="{00000000-0004-0000-0300-00002F000000}"/>
    <hyperlink ref="G58" r:id="rId49" xr:uid="{00000000-0004-0000-0300-000030000000}"/>
    <hyperlink ref="F60" r:id="rId50" xr:uid="{00000000-0004-0000-0300-000031000000}"/>
    <hyperlink ref="G60" r:id="rId51" xr:uid="{00000000-0004-0000-0300-000032000000}"/>
    <hyperlink ref="G61" r:id="rId52" xr:uid="{00000000-0004-0000-0300-000033000000}"/>
    <hyperlink ref="G62" r:id="rId53" xr:uid="{00000000-0004-0000-0300-000034000000}"/>
    <hyperlink ref="S62" r:id="rId54" xr:uid="{00000000-0004-0000-0300-000035000000}"/>
    <hyperlink ref="F63" r:id="rId55" xr:uid="{00000000-0004-0000-0300-000036000000}"/>
    <hyperlink ref="S63" r:id="rId56" xr:uid="{00000000-0004-0000-0300-000037000000}"/>
    <hyperlink ref="F65" r:id="rId57" xr:uid="{00000000-0004-0000-0300-000038000000}"/>
    <hyperlink ref="G65" r:id="rId58" xr:uid="{00000000-0004-0000-0300-000039000000}"/>
    <hyperlink ref="G66" r:id="rId59" xr:uid="{00000000-0004-0000-0300-00003A000000}"/>
    <hyperlink ref="S66" r:id="rId60" xr:uid="{00000000-0004-0000-0300-00003B000000}"/>
    <hyperlink ref="F67" r:id="rId61" xr:uid="{00000000-0004-0000-0300-00003C000000}"/>
    <hyperlink ref="G68" r:id="rId62" xr:uid="{00000000-0004-0000-0300-00003D000000}"/>
    <hyperlink ref="F69" r:id="rId63" xr:uid="{00000000-0004-0000-0300-00003E000000}"/>
    <hyperlink ref="S70" r:id="rId64" xr:uid="{00000000-0004-0000-0300-00003F000000}"/>
    <hyperlink ref="F71" r:id="rId65" xr:uid="{00000000-0004-0000-0300-000040000000}"/>
    <hyperlink ref="G71" r:id="rId66" xr:uid="{00000000-0004-0000-0300-000041000000}"/>
    <hyperlink ref="G73" r:id="rId67" xr:uid="{00000000-0004-0000-0300-000042000000}"/>
    <hyperlink ref="S73" r:id="rId68" xr:uid="{00000000-0004-0000-0300-000043000000}"/>
    <hyperlink ref="G74" r:id="rId69" xr:uid="{00000000-0004-0000-0300-000044000000}"/>
    <hyperlink ref="S74" r:id="rId70" xr:uid="{00000000-0004-0000-0300-000045000000}"/>
    <hyperlink ref="G78" r:id="rId71" xr:uid="{00000000-0004-0000-0300-000046000000}"/>
    <hyperlink ref="G79" r:id="rId72" xr:uid="{00000000-0004-0000-0300-000047000000}"/>
    <hyperlink ref="G80" r:id="rId73" xr:uid="{00000000-0004-0000-0300-000048000000}"/>
    <hyperlink ref="S80" r:id="rId74" xr:uid="{00000000-0004-0000-0300-000049000000}"/>
    <hyperlink ref="G81" r:id="rId75" xr:uid="{00000000-0004-0000-0300-00004A000000}"/>
    <hyperlink ref="G82" r:id="rId76" xr:uid="{00000000-0004-0000-0300-00004B000000}"/>
    <hyperlink ref="S83" r:id="rId77" xr:uid="{00000000-0004-0000-0300-00004C000000}"/>
    <hyperlink ref="G86" r:id="rId78" xr:uid="{00000000-0004-0000-0300-00004D000000}"/>
    <hyperlink ref="G87" r:id="rId79" xr:uid="{00000000-0004-0000-0300-00004E000000}"/>
    <hyperlink ref="G88" r:id="rId80" xr:uid="{00000000-0004-0000-0300-00004F000000}"/>
    <hyperlink ref="F90" r:id="rId81" xr:uid="{00000000-0004-0000-0300-000050000000}"/>
    <hyperlink ref="F92" r:id="rId82" xr:uid="{00000000-0004-0000-0300-000051000000}"/>
    <hyperlink ref="C93" r:id="rId83" xr:uid="{00000000-0004-0000-0300-000052000000}"/>
    <hyperlink ref="G93" r:id="rId84" xr:uid="{00000000-0004-0000-0300-000053000000}"/>
    <hyperlink ref="S93" r:id="rId85" xr:uid="{00000000-0004-0000-0300-000054000000}"/>
    <hyperlink ref="G95" r:id="rId86" xr:uid="{00000000-0004-0000-0300-000055000000}"/>
    <hyperlink ref="S95" r:id="rId87" xr:uid="{00000000-0004-0000-0300-000056000000}"/>
    <hyperlink ref="F97" r:id="rId88" xr:uid="{00000000-0004-0000-0300-000057000000}"/>
    <hyperlink ref="F98" r:id="rId89" xr:uid="{00000000-0004-0000-0300-000058000000}"/>
    <hyperlink ref="S98" r:id="rId90" xr:uid="{00000000-0004-0000-0300-000059000000}"/>
    <hyperlink ref="G99" r:id="rId91" xr:uid="{00000000-0004-0000-0300-00005A000000}"/>
    <hyperlink ref="S99" r:id="rId92" xr:uid="{00000000-0004-0000-0300-00005B000000}"/>
    <hyperlink ref="G101" r:id="rId93" xr:uid="{00000000-0004-0000-0300-00005C000000}"/>
    <hyperlink ref="S101" r:id="rId94" xr:uid="{00000000-0004-0000-0300-00005D000000}"/>
    <hyperlink ref="F102" r:id="rId95" xr:uid="{00000000-0004-0000-0300-00005E000000}"/>
    <hyperlink ref="F104" r:id="rId96" xr:uid="{00000000-0004-0000-0300-00005F000000}"/>
    <hyperlink ref="S105" r:id="rId97" xr:uid="{00000000-0004-0000-0300-000060000000}"/>
    <hyperlink ref="F106" r:id="rId98" xr:uid="{00000000-0004-0000-0300-000061000000}"/>
    <hyperlink ref="G106" r:id="rId99" xr:uid="{00000000-0004-0000-0300-000062000000}"/>
    <hyperlink ref="G107" r:id="rId100" xr:uid="{00000000-0004-0000-0300-000063000000}"/>
    <hyperlink ref="S107" r:id="rId101" xr:uid="{00000000-0004-0000-0300-000064000000}"/>
    <hyperlink ref="F108" r:id="rId102" xr:uid="{00000000-0004-0000-0300-000065000000}"/>
    <hyperlink ref="S108" r:id="rId103" xr:uid="{00000000-0004-0000-0300-000066000000}"/>
    <hyperlink ref="S109" r:id="rId104" xr:uid="{00000000-0004-0000-0300-000067000000}"/>
    <hyperlink ref="F110" r:id="rId105" xr:uid="{00000000-0004-0000-0300-000068000000}"/>
    <hyperlink ref="G111" r:id="rId106" xr:uid="{00000000-0004-0000-0300-000069000000}"/>
    <hyperlink ref="S111" r:id="rId107" xr:uid="{00000000-0004-0000-0300-00006A000000}"/>
    <hyperlink ref="S112" r:id="rId108" xr:uid="{00000000-0004-0000-0300-00006B000000}"/>
    <hyperlink ref="G115" r:id="rId109" xr:uid="{00000000-0004-0000-0300-00006C000000}"/>
    <hyperlink ref="F117" r:id="rId110" xr:uid="{00000000-0004-0000-0300-00006D000000}"/>
    <hyperlink ref="S117" r:id="rId111" xr:uid="{00000000-0004-0000-0300-00006E000000}"/>
    <hyperlink ref="F118" r:id="rId112" xr:uid="{00000000-0004-0000-0300-00006F000000}"/>
    <hyperlink ref="S118" r:id="rId113" xr:uid="{00000000-0004-0000-0300-000070000000}"/>
    <hyperlink ref="S119" r:id="rId114" xr:uid="{00000000-0004-0000-0300-000071000000}"/>
    <hyperlink ref="S120" r:id="rId115" xr:uid="{00000000-0004-0000-0300-000072000000}"/>
    <hyperlink ref="F121" r:id="rId116" xr:uid="{00000000-0004-0000-0300-000073000000}"/>
    <hyperlink ref="G122" r:id="rId117" xr:uid="{00000000-0004-0000-0300-000074000000}"/>
    <hyperlink ref="S122" r:id="rId118" xr:uid="{00000000-0004-0000-0300-000075000000}"/>
    <hyperlink ref="F125" r:id="rId119" xr:uid="{00000000-0004-0000-0300-000076000000}"/>
    <hyperlink ref="S126" r:id="rId120" xr:uid="{00000000-0004-0000-0300-000077000000}"/>
    <hyperlink ref="S127" r:id="rId121" xr:uid="{00000000-0004-0000-0300-000078000000}"/>
    <hyperlink ref="F128" r:id="rId122" xr:uid="{00000000-0004-0000-0300-000079000000}"/>
    <hyperlink ref="F129" r:id="rId123" xr:uid="{00000000-0004-0000-0300-00007A000000}"/>
    <hyperlink ref="S129" r:id="rId124" xr:uid="{00000000-0004-0000-0300-00007B000000}"/>
    <hyperlink ref="S130" r:id="rId125" xr:uid="{00000000-0004-0000-0300-00007C000000}"/>
    <hyperlink ref="S131" r:id="rId126" xr:uid="{00000000-0004-0000-0300-00007D000000}"/>
    <hyperlink ref="F132" r:id="rId127" xr:uid="{00000000-0004-0000-0300-00007E000000}"/>
    <hyperlink ref="G132" r:id="rId128" xr:uid="{00000000-0004-0000-0300-00007F000000}"/>
    <hyperlink ref="F134" r:id="rId129" xr:uid="{00000000-0004-0000-0300-000080000000}"/>
    <hyperlink ref="G134" r:id="rId130" xr:uid="{00000000-0004-0000-0300-000081000000}"/>
    <hyperlink ref="S134" r:id="rId131" xr:uid="{00000000-0004-0000-0300-000082000000}"/>
    <hyperlink ref="F135" r:id="rId132" xr:uid="{00000000-0004-0000-0300-000083000000}"/>
    <hyperlink ref="S135" r:id="rId133" xr:uid="{00000000-0004-0000-0300-000084000000}"/>
    <hyperlink ref="F136" r:id="rId134" xr:uid="{00000000-0004-0000-0300-000085000000}"/>
    <hyperlink ref="S136" r:id="rId135" xr:uid="{00000000-0004-0000-0300-000086000000}"/>
    <hyperlink ref="G137" r:id="rId136" xr:uid="{00000000-0004-0000-0300-000087000000}"/>
    <hyperlink ref="F138" r:id="rId137" xr:uid="{00000000-0004-0000-0300-000088000000}"/>
    <hyperlink ref="S138" r:id="rId138" xr:uid="{00000000-0004-0000-0300-000089000000}"/>
    <hyperlink ref="S139" r:id="rId139" xr:uid="{00000000-0004-0000-0300-00008A000000}"/>
    <hyperlink ref="F140" r:id="rId140" xr:uid="{00000000-0004-0000-0300-00008B000000}"/>
    <hyperlink ref="F142" r:id="rId141" xr:uid="{00000000-0004-0000-0300-00008C000000}"/>
    <hyperlink ref="G143" r:id="rId142" xr:uid="{00000000-0004-0000-0300-00008D000000}"/>
    <hyperlink ref="S144" r:id="rId143" xr:uid="{00000000-0004-0000-0300-00008E000000}"/>
    <hyperlink ref="S145" r:id="rId144" xr:uid="{00000000-0004-0000-0300-00008F000000}"/>
    <hyperlink ref="S146" r:id="rId145" xr:uid="{00000000-0004-0000-0300-000090000000}"/>
    <hyperlink ref="F147" r:id="rId146" xr:uid="{00000000-0004-0000-0300-000091000000}"/>
    <hyperlink ref="G147" r:id="rId147" xr:uid="{00000000-0004-0000-0300-000092000000}"/>
    <hyperlink ref="F148" r:id="rId148" xr:uid="{00000000-0004-0000-0300-000093000000}"/>
    <hyperlink ref="S149" r:id="rId149" xr:uid="{00000000-0004-0000-0300-000094000000}"/>
    <hyperlink ref="S150" r:id="rId150" xr:uid="{00000000-0004-0000-0300-000095000000}"/>
    <hyperlink ref="F151" r:id="rId151" xr:uid="{00000000-0004-0000-0300-000096000000}"/>
    <hyperlink ref="G151" r:id="rId152" xr:uid="{00000000-0004-0000-0300-000097000000}"/>
    <hyperlink ref="S151" r:id="rId153" xr:uid="{00000000-0004-0000-0300-000098000000}"/>
    <hyperlink ref="F154" r:id="rId154" xr:uid="{00000000-0004-0000-0300-000099000000}"/>
    <hyperlink ref="S155" r:id="rId155" xr:uid="{00000000-0004-0000-0300-00009A000000}"/>
    <hyperlink ref="S156" r:id="rId156" xr:uid="{00000000-0004-0000-0300-00009B000000}"/>
    <hyperlink ref="F157" r:id="rId157" xr:uid="{00000000-0004-0000-0300-00009C000000}"/>
    <hyperlink ref="S157" r:id="rId158" xr:uid="{00000000-0004-0000-0300-00009D000000}"/>
    <hyperlink ref="F158" r:id="rId159" xr:uid="{00000000-0004-0000-0300-00009E000000}"/>
    <hyperlink ref="S158" r:id="rId160" xr:uid="{00000000-0004-0000-0300-00009F000000}"/>
    <hyperlink ref="G160" r:id="rId161" xr:uid="{00000000-0004-0000-0300-0000A0000000}"/>
    <hyperlink ref="G161" r:id="rId162" xr:uid="{00000000-0004-0000-0300-0000A1000000}"/>
    <hyperlink ref="F162" r:id="rId163" xr:uid="{00000000-0004-0000-0300-0000A2000000}"/>
    <hyperlink ref="S163" r:id="rId164" xr:uid="{00000000-0004-0000-0300-0000A3000000}"/>
    <hyperlink ref="S164" r:id="rId165" xr:uid="{00000000-0004-0000-0300-0000A4000000}"/>
    <hyperlink ref="F165" r:id="rId166" xr:uid="{00000000-0004-0000-0300-0000A5000000}"/>
    <hyperlink ref="G165" r:id="rId167" xr:uid="{00000000-0004-0000-0300-0000A6000000}"/>
    <hyperlink ref="S166" r:id="rId168" xr:uid="{00000000-0004-0000-0300-0000A7000000}"/>
    <hyperlink ref="S167" r:id="rId169" xr:uid="{00000000-0004-0000-0300-0000A8000000}"/>
    <hyperlink ref="F168" r:id="rId170" xr:uid="{00000000-0004-0000-0300-0000A9000000}"/>
    <hyperlink ref="G168" r:id="rId171" xr:uid="{00000000-0004-0000-0300-0000AA000000}"/>
    <hyperlink ref="S169" r:id="rId172" xr:uid="{00000000-0004-0000-0300-0000AB000000}"/>
    <hyperlink ref="S170" r:id="rId173" xr:uid="{00000000-0004-0000-0300-0000AC000000}"/>
    <hyperlink ref="G171" r:id="rId174" xr:uid="{00000000-0004-0000-0300-0000AD000000}"/>
    <hyperlink ref="F172" r:id="rId175" xr:uid="{00000000-0004-0000-0300-0000AE000000}"/>
    <hyperlink ref="F173" r:id="rId176" xr:uid="{00000000-0004-0000-0300-0000AF000000}"/>
    <hyperlink ref="G173" r:id="rId177" xr:uid="{00000000-0004-0000-0300-0000B0000000}"/>
    <hyperlink ref="S173" r:id="rId178" xr:uid="{00000000-0004-0000-0300-0000B1000000}"/>
    <hyperlink ref="G174" r:id="rId179" xr:uid="{00000000-0004-0000-0300-0000B2000000}"/>
    <hyperlink ref="S174" r:id="rId180" xr:uid="{00000000-0004-0000-0300-0000B3000000}"/>
    <hyperlink ref="S175" r:id="rId181" xr:uid="{00000000-0004-0000-0300-0000B4000000}"/>
    <hyperlink ref="S176" r:id="rId182" xr:uid="{00000000-0004-0000-0300-0000B5000000}"/>
    <hyperlink ref="G177" r:id="rId183" xr:uid="{00000000-0004-0000-0300-0000B6000000}"/>
    <hyperlink ref="S178" r:id="rId184" xr:uid="{00000000-0004-0000-0300-0000B7000000}"/>
    <hyperlink ref="S179" r:id="rId185" xr:uid="{00000000-0004-0000-0300-0000B8000000}"/>
    <hyperlink ref="S182" r:id="rId186" xr:uid="{00000000-0004-0000-0300-0000B9000000}"/>
    <hyperlink ref="S183" r:id="rId187" xr:uid="{00000000-0004-0000-0300-0000BA000000}"/>
    <hyperlink ref="F184" r:id="rId188" xr:uid="{00000000-0004-0000-0300-0000BB000000}"/>
    <hyperlink ref="G184" r:id="rId189" xr:uid="{00000000-0004-0000-0300-0000BC000000}"/>
    <hyperlink ref="S185" r:id="rId190" xr:uid="{00000000-0004-0000-0300-0000BD000000}"/>
    <hyperlink ref="F186" r:id="rId191" xr:uid="{00000000-0004-0000-0300-0000BE000000}"/>
    <hyperlink ref="G186" r:id="rId192" xr:uid="{00000000-0004-0000-0300-0000BF000000}"/>
    <hyperlink ref="S187" r:id="rId193" xr:uid="{00000000-0004-0000-0300-0000C0000000}"/>
    <hyperlink ref="S188" r:id="rId194" xr:uid="{00000000-0004-0000-0300-0000C1000000}"/>
    <hyperlink ref="G189" r:id="rId195" xr:uid="{00000000-0004-0000-0300-0000C2000000}"/>
    <hyperlink ref="F190" r:id="rId196" xr:uid="{00000000-0004-0000-0300-0000C3000000}"/>
    <hyperlink ref="F191" r:id="rId197" xr:uid="{00000000-0004-0000-0300-0000C4000000}"/>
    <hyperlink ref="G192" r:id="rId198" xr:uid="{00000000-0004-0000-0300-0000C5000000}"/>
    <hyperlink ref="S192" r:id="rId199" xr:uid="{00000000-0004-0000-0300-0000C6000000}"/>
    <hyperlink ref="F193" r:id="rId200" xr:uid="{00000000-0004-0000-0300-0000C7000000}"/>
    <hyperlink ref="G193" r:id="rId201" xr:uid="{00000000-0004-0000-0300-0000C8000000}"/>
    <hyperlink ref="G196" r:id="rId202" xr:uid="{00000000-0004-0000-0300-0000C9000000}"/>
    <hyperlink ref="S196" r:id="rId203" xr:uid="{00000000-0004-0000-0300-0000CA000000}"/>
    <hyperlink ref="G197" r:id="rId204" xr:uid="{00000000-0004-0000-0300-0000CB000000}"/>
    <hyperlink ref="S198" r:id="rId205" xr:uid="{00000000-0004-0000-0300-0000CC000000}"/>
    <hyperlink ref="S199" r:id="rId206" xr:uid="{00000000-0004-0000-0300-0000CD000000}"/>
    <hyperlink ref="G200" r:id="rId207" xr:uid="{00000000-0004-0000-0300-0000CE000000}"/>
    <hyperlink ref="S200" r:id="rId208" xr:uid="{00000000-0004-0000-0300-0000CF000000}"/>
    <hyperlink ref="G201" r:id="rId209" xr:uid="{00000000-0004-0000-0300-0000D0000000}"/>
    <hyperlink ref="F202" r:id="rId210" xr:uid="{00000000-0004-0000-0300-0000D1000000}"/>
    <hyperlink ref="G202" r:id="rId211" xr:uid="{00000000-0004-0000-0300-0000D2000000}"/>
    <hyperlink ref="S202" r:id="rId212" xr:uid="{00000000-0004-0000-0300-0000D3000000}"/>
    <hyperlink ref="G203" r:id="rId213" xr:uid="{00000000-0004-0000-0300-0000D4000000}"/>
    <hyperlink ref="S203" r:id="rId214" xr:uid="{00000000-0004-0000-0300-0000D5000000}"/>
    <hyperlink ref="F205" r:id="rId215" xr:uid="{00000000-0004-0000-0300-0000D6000000}"/>
    <hyperlink ref="G206" r:id="rId216" xr:uid="{00000000-0004-0000-0300-0000D7000000}"/>
    <hyperlink ref="F207" r:id="rId217" xr:uid="{00000000-0004-0000-0300-0000D8000000}"/>
    <hyperlink ref="G207" r:id="rId218" xr:uid="{00000000-0004-0000-0300-0000D9000000}"/>
    <hyperlink ref="G208" r:id="rId219" xr:uid="{00000000-0004-0000-0300-0000DA000000}"/>
    <hyperlink ref="G209" r:id="rId220" xr:uid="{00000000-0004-0000-0300-0000DB000000}"/>
    <hyperlink ref="F210" r:id="rId221" xr:uid="{00000000-0004-0000-0300-0000DC000000}"/>
    <hyperlink ref="G210" r:id="rId222" xr:uid="{00000000-0004-0000-0300-0000DD000000}"/>
    <hyperlink ref="S212" r:id="rId223" xr:uid="{00000000-0004-0000-0300-0000DE000000}"/>
    <hyperlink ref="F213" r:id="rId224" xr:uid="{00000000-0004-0000-0300-0000DF000000}"/>
    <hyperlink ref="S213" r:id="rId225" xr:uid="{00000000-0004-0000-0300-0000E0000000}"/>
    <hyperlink ref="S214" r:id="rId226" xr:uid="{00000000-0004-0000-0300-0000E1000000}"/>
    <hyperlink ref="S215" r:id="rId227" xr:uid="{00000000-0004-0000-0300-0000E2000000}"/>
    <hyperlink ref="C216" r:id="rId228" xr:uid="{00000000-0004-0000-0300-0000E3000000}"/>
    <hyperlink ref="S216" r:id="rId229" xr:uid="{00000000-0004-0000-0300-0000E4000000}"/>
    <hyperlink ref="F218" r:id="rId230" xr:uid="{00000000-0004-0000-0300-0000E5000000}"/>
    <hyperlink ref="G218" r:id="rId231" xr:uid="{00000000-0004-0000-0300-0000E6000000}"/>
    <hyperlink ref="S218" r:id="rId232" xr:uid="{00000000-0004-0000-0300-0000E7000000}"/>
    <hyperlink ref="G219" r:id="rId233" xr:uid="{00000000-0004-0000-0300-0000E8000000}"/>
    <hyperlink ref="S219" r:id="rId234" xr:uid="{00000000-0004-0000-0300-0000E9000000}"/>
    <hyperlink ref="G220" r:id="rId235" xr:uid="{00000000-0004-0000-0300-0000EA000000}"/>
    <hyperlink ref="G223" r:id="rId236" xr:uid="{00000000-0004-0000-0300-0000EB000000}"/>
    <hyperlink ref="S223" r:id="rId237" xr:uid="{00000000-0004-0000-0300-0000EC000000}"/>
    <hyperlink ref="G224" r:id="rId238" xr:uid="{00000000-0004-0000-0300-0000ED000000}"/>
    <hyperlink ref="G225" r:id="rId239" xr:uid="{00000000-0004-0000-0300-0000EE000000}"/>
    <hyperlink ref="F226" r:id="rId240" xr:uid="{00000000-0004-0000-0300-0000EF000000}"/>
    <hyperlink ref="G226" r:id="rId241" xr:uid="{00000000-0004-0000-0300-0000F0000000}"/>
    <hyperlink ref="G227" r:id="rId242" xr:uid="{00000000-0004-0000-0300-0000F1000000}"/>
    <hyperlink ref="F230" r:id="rId243" xr:uid="{00000000-0004-0000-0300-0000F2000000}"/>
    <hyperlink ref="G230" r:id="rId244" xr:uid="{00000000-0004-0000-0300-0000F3000000}"/>
    <hyperlink ref="S230" r:id="rId245" xr:uid="{00000000-0004-0000-0300-0000F4000000}"/>
    <hyperlink ref="F231" r:id="rId246" xr:uid="{00000000-0004-0000-0300-0000F5000000}"/>
    <hyperlink ref="F232" r:id="rId247" xr:uid="{00000000-0004-0000-0300-0000F6000000}"/>
    <hyperlink ref="F233" r:id="rId248" xr:uid="{00000000-0004-0000-0300-0000F7000000}"/>
    <hyperlink ref="S233" r:id="rId249" xr:uid="{00000000-0004-0000-0300-0000F8000000}"/>
    <hyperlink ref="G234" r:id="rId250" xr:uid="{00000000-0004-0000-0300-0000F9000000}"/>
    <hyperlink ref="G235" r:id="rId251" xr:uid="{00000000-0004-0000-0300-0000FA000000}"/>
    <hyperlink ref="G236" r:id="rId252" xr:uid="{00000000-0004-0000-0300-0000FB000000}"/>
    <hyperlink ref="G238" r:id="rId253" xr:uid="{00000000-0004-0000-0300-0000FC000000}"/>
    <hyperlink ref="S238" r:id="rId254" xr:uid="{00000000-0004-0000-0300-0000FD000000}"/>
    <hyperlink ref="G239" r:id="rId255" xr:uid="{00000000-0004-0000-0300-0000FE000000}"/>
    <hyperlink ref="G240" r:id="rId256" xr:uid="{00000000-0004-0000-0300-0000FF000000}"/>
    <hyperlink ref="S240" r:id="rId257" xr:uid="{00000000-0004-0000-0300-000000010000}"/>
    <hyperlink ref="F241" r:id="rId258" xr:uid="{00000000-0004-0000-0300-000001010000}"/>
    <hyperlink ref="F242" r:id="rId259" xr:uid="{00000000-0004-0000-0300-000002010000}"/>
    <hyperlink ref="G242" r:id="rId260" xr:uid="{00000000-0004-0000-0300-000003010000}"/>
    <hyperlink ref="G243" r:id="rId261" xr:uid="{00000000-0004-0000-0300-000004010000}"/>
    <hyperlink ref="F244" r:id="rId262" xr:uid="{00000000-0004-0000-0300-000005010000}"/>
    <hyperlink ref="F245" r:id="rId263" xr:uid="{00000000-0004-0000-0300-000006010000}"/>
    <hyperlink ref="F246" r:id="rId264" xr:uid="{00000000-0004-0000-0300-000007010000}"/>
    <hyperlink ref="S246" r:id="rId265" xr:uid="{00000000-0004-0000-0300-000008010000}"/>
    <hyperlink ref="G247" r:id="rId266" xr:uid="{00000000-0004-0000-0300-000009010000}"/>
    <hyperlink ref="F248" r:id="rId267" xr:uid="{00000000-0004-0000-0300-00000A010000}"/>
    <hyperlink ref="G248" r:id="rId268" xr:uid="{00000000-0004-0000-0300-00000B010000}"/>
    <hyperlink ref="S248" r:id="rId269" xr:uid="{00000000-0004-0000-0300-00000C010000}"/>
    <hyperlink ref="G249" r:id="rId270" xr:uid="{00000000-0004-0000-0300-00000D010000}"/>
    <hyperlink ref="S249" r:id="rId271" xr:uid="{00000000-0004-0000-0300-00000E010000}"/>
    <hyperlink ref="F250" r:id="rId272" xr:uid="{00000000-0004-0000-0300-00000F010000}"/>
    <hyperlink ref="G250" r:id="rId273" xr:uid="{00000000-0004-0000-0300-000010010000}"/>
    <hyperlink ref="G251" r:id="rId274" xr:uid="{00000000-0004-0000-0300-000011010000}"/>
    <hyperlink ref="S251" r:id="rId275" xr:uid="{00000000-0004-0000-0300-000012010000}"/>
    <hyperlink ref="F252" r:id="rId276" xr:uid="{00000000-0004-0000-0300-000013010000}"/>
    <hyperlink ref="G252" r:id="rId277" xr:uid="{00000000-0004-0000-0300-000014010000}"/>
    <hyperlink ref="G254" r:id="rId278" xr:uid="{00000000-0004-0000-0300-000015010000}"/>
    <hyperlink ref="F255" r:id="rId279" xr:uid="{00000000-0004-0000-0300-000016010000}"/>
    <hyperlink ref="G255" r:id="rId280" xr:uid="{00000000-0004-0000-0300-000017010000}"/>
    <hyperlink ref="F256" r:id="rId281" xr:uid="{00000000-0004-0000-0300-000018010000}"/>
    <hyperlink ref="S256" r:id="rId282" xr:uid="{00000000-0004-0000-0300-000019010000}"/>
    <hyperlink ref="F257" r:id="rId283" xr:uid="{00000000-0004-0000-0300-00001A010000}"/>
    <hyperlink ref="G257" r:id="rId284" xr:uid="{00000000-0004-0000-0300-00001B010000}"/>
    <hyperlink ref="F259" r:id="rId285" xr:uid="{00000000-0004-0000-0300-00001C010000}"/>
    <hyperlink ref="S259" r:id="rId286" xr:uid="{00000000-0004-0000-0300-00001D010000}"/>
    <hyperlink ref="F260" r:id="rId287" xr:uid="{00000000-0004-0000-0300-00001E010000}"/>
    <hyperlink ref="G260" r:id="rId288" xr:uid="{00000000-0004-0000-0300-00001F010000}"/>
    <hyperlink ref="S260" r:id="rId289" xr:uid="{00000000-0004-0000-0300-000020010000}"/>
    <hyperlink ref="G261" r:id="rId290" xr:uid="{00000000-0004-0000-0300-000021010000}"/>
    <hyperlink ref="G263" r:id="rId291" xr:uid="{00000000-0004-0000-0300-000022010000}"/>
    <hyperlink ref="S264" r:id="rId292" xr:uid="{00000000-0004-0000-0300-000023010000}"/>
    <hyperlink ref="G266" r:id="rId293" xr:uid="{00000000-0004-0000-0300-000024010000}"/>
    <hyperlink ref="S271" r:id="rId294" xr:uid="{00000000-0004-0000-0300-000025010000}"/>
    <hyperlink ref="G272" r:id="rId295" xr:uid="{00000000-0004-0000-0300-000026010000}"/>
    <hyperlink ref="F274" r:id="rId296" xr:uid="{00000000-0004-0000-0300-000027010000}"/>
    <hyperlink ref="F276" r:id="rId297" xr:uid="{00000000-0004-0000-0300-000028010000}"/>
    <hyperlink ref="G276" r:id="rId298" xr:uid="{00000000-0004-0000-0300-000029010000}"/>
    <hyperlink ref="F277" r:id="rId299" xr:uid="{00000000-0004-0000-0300-00002A010000}"/>
    <hyperlink ref="F278" r:id="rId300" xr:uid="{00000000-0004-0000-0300-00002B010000}"/>
    <hyperlink ref="G278" r:id="rId301" xr:uid="{00000000-0004-0000-0300-00002C010000}"/>
    <hyperlink ref="G279" r:id="rId302" xr:uid="{00000000-0004-0000-0300-00002D010000}"/>
    <hyperlink ref="F280" r:id="rId303" xr:uid="{00000000-0004-0000-0300-00002E010000}"/>
    <hyperlink ref="G280" r:id="rId304" xr:uid="{00000000-0004-0000-0300-00002F010000}"/>
    <hyperlink ref="F281" r:id="rId305" xr:uid="{00000000-0004-0000-0300-000030010000}"/>
    <hyperlink ref="F282" r:id="rId306" xr:uid="{00000000-0004-0000-0300-000031010000}"/>
    <hyperlink ref="G282" r:id="rId307" xr:uid="{00000000-0004-0000-0300-000032010000}"/>
    <hyperlink ref="S282" r:id="rId308" xr:uid="{00000000-0004-0000-0300-000033010000}"/>
    <hyperlink ref="S284" r:id="rId309" xr:uid="{00000000-0004-0000-0300-000034010000}"/>
    <hyperlink ref="F285" r:id="rId310" xr:uid="{00000000-0004-0000-0300-000035010000}"/>
    <hyperlink ref="G285" r:id="rId311" xr:uid="{00000000-0004-0000-0300-000036010000}"/>
    <hyperlink ref="F286" r:id="rId312" xr:uid="{00000000-0004-0000-0300-000037010000}"/>
    <hyperlink ref="G286" r:id="rId313" xr:uid="{00000000-0004-0000-0300-000038010000}"/>
    <hyperlink ref="G287" r:id="rId314" xr:uid="{00000000-0004-0000-0300-000039010000}"/>
    <hyperlink ref="F288" r:id="rId315" xr:uid="{00000000-0004-0000-0300-00003A010000}"/>
    <hyperlink ref="S288" r:id="rId316" xr:uid="{00000000-0004-0000-0300-00003B010000}"/>
    <hyperlink ref="G289" r:id="rId317" xr:uid="{00000000-0004-0000-0300-00003C010000}"/>
    <hyperlink ref="F291" r:id="rId318" xr:uid="{00000000-0004-0000-0300-00003D010000}"/>
    <hyperlink ref="G292" r:id="rId319" xr:uid="{00000000-0004-0000-0300-00003E010000}"/>
    <hyperlink ref="S292" r:id="rId320" xr:uid="{00000000-0004-0000-0300-00003F010000}"/>
    <hyperlink ref="F294" r:id="rId321" xr:uid="{00000000-0004-0000-0300-000040010000}"/>
    <hyperlink ref="G295" r:id="rId322" xr:uid="{00000000-0004-0000-0300-000041010000}"/>
    <hyperlink ref="G296" r:id="rId323" xr:uid="{00000000-0004-0000-0300-000042010000}"/>
    <hyperlink ref="G297" r:id="rId324" xr:uid="{00000000-0004-0000-0300-000043010000}"/>
    <hyperlink ref="G298" r:id="rId325" xr:uid="{00000000-0004-0000-0300-000044010000}"/>
    <hyperlink ref="F299" r:id="rId326" xr:uid="{00000000-0004-0000-0300-000045010000}"/>
    <hyperlink ref="F300" r:id="rId327" xr:uid="{00000000-0004-0000-0300-000046010000}"/>
    <hyperlink ref="G300" r:id="rId328" xr:uid="{00000000-0004-0000-0300-000047010000}"/>
    <hyperlink ref="S301" r:id="rId329" xr:uid="{00000000-0004-0000-0300-000048010000}"/>
    <hyperlink ref="F302" r:id="rId330" xr:uid="{00000000-0004-0000-0300-000049010000}"/>
    <hyperlink ref="G302" r:id="rId331" xr:uid="{00000000-0004-0000-0300-00004A010000}"/>
    <hyperlink ref="S302" r:id="rId332" xr:uid="{00000000-0004-0000-0300-00004B010000}"/>
    <hyperlink ref="F303" r:id="rId333" xr:uid="{00000000-0004-0000-0300-00004C010000}"/>
    <hyperlink ref="S303" r:id="rId334" xr:uid="{00000000-0004-0000-0300-00004D010000}"/>
    <hyperlink ref="G304" r:id="rId335" xr:uid="{00000000-0004-0000-0300-00004E010000}"/>
    <hyperlink ref="F305" r:id="rId336" xr:uid="{00000000-0004-0000-0300-00004F010000}"/>
    <hyperlink ref="G305" r:id="rId337" xr:uid="{00000000-0004-0000-0300-000050010000}"/>
    <hyperlink ref="F306" r:id="rId338" xr:uid="{00000000-0004-0000-0300-000051010000}"/>
    <hyperlink ref="F307" r:id="rId339" location="click=https://t.co/xeuH59vk2W" xr:uid="{00000000-0004-0000-0300-000052010000}"/>
    <hyperlink ref="S307" r:id="rId340" xr:uid="{00000000-0004-0000-0300-000053010000}"/>
    <hyperlink ref="F308" r:id="rId341" xr:uid="{00000000-0004-0000-0300-000054010000}"/>
    <hyperlink ref="S308" r:id="rId342" xr:uid="{00000000-0004-0000-0300-000055010000}"/>
    <hyperlink ref="S309" r:id="rId343" xr:uid="{00000000-0004-0000-0300-000056010000}"/>
    <hyperlink ref="F310" r:id="rId344" xr:uid="{00000000-0004-0000-0300-000057010000}"/>
    <hyperlink ref="G311" r:id="rId345" xr:uid="{00000000-0004-0000-0300-000058010000}"/>
    <hyperlink ref="F312" r:id="rId346" xr:uid="{00000000-0004-0000-0300-000059010000}"/>
    <hyperlink ref="F313" r:id="rId347" xr:uid="{00000000-0004-0000-0300-00005A010000}"/>
    <hyperlink ref="G313" r:id="rId348" xr:uid="{00000000-0004-0000-0300-00005B010000}"/>
    <hyperlink ref="S314" r:id="rId349" xr:uid="{00000000-0004-0000-0300-00005C010000}"/>
    <hyperlink ref="F315" r:id="rId350" xr:uid="{00000000-0004-0000-0300-00005D010000}"/>
    <hyperlink ref="G317" r:id="rId351" xr:uid="{00000000-0004-0000-0300-00005E010000}"/>
    <hyperlink ref="S318" r:id="rId352" xr:uid="{00000000-0004-0000-0300-00005F010000}"/>
    <hyperlink ref="S319" r:id="rId353" xr:uid="{00000000-0004-0000-0300-000060010000}"/>
    <hyperlink ref="S320" r:id="rId354" xr:uid="{00000000-0004-0000-0300-000061010000}"/>
    <hyperlink ref="S321" r:id="rId355" xr:uid="{00000000-0004-0000-0300-000062010000}"/>
    <hyperlink ref="S322" r:id="rId356" xr:uid="{00000000-0004-0000-0300-000063010000}"/>
    <hyperlink ref="F323" r:id="rId357" xr:uid="{00000000-0004-0000-0300-000064010000}"/>
    <hyperlink ref="F324" r:id="rId358" xr:uid="{00000000-0004-0000-0300-000065010000}"/>
    <hyperlink ref="G324" r:id="rId359" xr:uid="{00000000-0004-0000-0300-000066010000}"/>
    <hyperlink ref="S325" r:id="rId360" xr:uid="{00000000-0004-0000-0300-000067010000}"/>
    <hyperlink ref="F327" r:id="rId361" xr:uid="{00000000-0004-0000-0300-000068010000}"/>
    <hyperlink ref="G327" r:id="rId362" xr:uid="{00000000-0004-0000-0300-000069010000}"/>
    <hyperlink ref="G329" r:id="rId363" xr:uid="{00000000-0004-0000-0300-00006A010000}"/>
    <hyperlink ref="S329" r:id="rId364" xr:uid="{00000000-0004-0000-0300-00006B010000}"/>
    <hyperlink ref="G330" r:id="rId365" xr:uid="{00000000-0004-0000-0300-00006C010000}"/>
    <hyperlink ref="S330" r:id="rId366" xr:uid="{00000000-0004-0000-0300-00006D010000}"/>
    <hyperlink ref="F331" r:id="rId367" xr:uid="{00000000-0004-0000-0300-00006E010000}"/>
    <hyperlink ref="G331" r:id="rId368" xr:uid="{00000000-0004-0000-0300-00006F010000}"/>
    <hyperlink ref="F332" r:id="rId369" xr:uid="{00000000-0004-0000-0300-000070010000}"/>
    <hyperlink ref="G332" r:id="rId370" xr:uid="{00000000-0004-0000-0300-000071010000}"/>
    <hyperlink ref="S332" r:id="rId371" xr:uid="{00000000-0004-0000-0300-000072010000}"/>
    <hyperlink ref="S333" r:id="rId372" xr:uid="{00000000-0004-0000-0300-000073010000}"/>
    <hyperlink ref="F334" r:id="rId373" xr:uid="{00000000-0004-0000-0300-000074010000}"/>
    <hyperlink ref="F335" r:id="rId374" xr:uid="{00000000-0004-0000-0300-000075010000}"/>
    <hyperlink ref="S335" r:id="rId375" xr:uid="{00000000-0004-0000-0300-000076010000}"/>
    <hyperlink ref="G336" r:id="rId376" xr:uid="{00000000-0004-0000-0300-000077010000}"/>
    <hyperlink ref="F338" r:id="rId377" xr:uid="{00000000-0004-0000-0300-000078010000}"/>
    <hyperlink ref="G338" r:id="rId378" xr:uid="{00000000-0004-0000-0300-000079010000}"/>
    <hyperlink ref="G339" r:id="rId379" xr:uid="{00000000-0004-0000-0300-00007A010000}"/>
    <hyperlink ref="S339" r:id="rId380" xr:uid="{00000000-0004-0000-0300-00007B010000}"/>
    <hyperlink ref="G340" r:id="rId381" xr:uid="{00000000-0004-0000-0300-00007C010000}"/>
    <hyperlink ref="F341" r:id="rId382" xr:uid="{00000000-0004-0000-0300-00007D010000}"/>
    <hyperlink ref="G342" r:id="rId383" xr:uid="{00000000-0004-0000-0300-00007E010000}"/>
    <hyperlink ref="F343" r:id="rId384" xr:uid="{00000000-0004-0000-0300-00007F010000}"/>
    <hyperlink ref="G343" r:id="rId385" xr:uid="{00000000-0004-0000-0300-000080010000}"/>
    <hyperlink ref="S343" r:id="rId386" xr:uid="{00000000-0004-0000-0300-000081010000}"/>
    <hyperlink ref="G344" r:id="rId387" xr:uid="{00000000-0004-0000-0300-000082010000}"/>
    <hyperlink ref="F345" r:id="rId388" xr:uid="{00000000-0004-0000-0300-000083010000}"/>
    <hyperlink ref="G345" r:id="rId389" xr:uid="{00000000-0004-0000-0300-000084010000}"/>
    <hyperlink ref="S345" r:id="rId390" xr:uid="{00000000-0004-0000-0300-000085010000}"/>
    <hyperlink ref="S347" r:id="rId391" xr:uid="{00000000-0004-0000-0300-000086010000}"/>
    <hyperlink ref="F348" r:id="rId392" xr:uid="{00000000-0004-0000-0300-000087010000}"/>
    <hyperlink ref="G348" r:id="rId393" xr:uid="{00000000-0004-0000-0300-000088010000}"/>
    <hyperlink ref="F349" r:id="rId394" xr:uid="{00000000-0004-0000-0300-000089010000}"/>
    <hyperlink ref="S349" r:id="rId395" xr:uid="{00000000-0004-0000-0300-00008A010000}"/>
    <hyperlink ref="G350" r:id="rId396" xr:uid="{00000000-0004-0000-0300-00008B010000}"/>
    <hyperlink ref="G351" r:id="rId397" xr:uid="{00000000-0004-0000-0300-00008C010000}"/>
    <hyperlink ref="S351" r:id="rId398" xr:uid="{00000000-0004-0000-0300-00008D010000}"/>
    <hyperlink ref="F352" r:id="rId399" xr:uid="{00000000-0004-0000-0300-00008E010000}"/>
    <hyperlink ref="G352" r:id="rId400" xr:uid="{00000000-0004-0000-0300-00008F010000}"/>
    <hyperlink ref="S352" r:id="rId401" xr:uid="{00000000-0004-0000-0300-000090010000}"/>
    <hyperlink ref="F353" r:id="rId402" xr:uid="{00000000-0004-0000-0300-000091010000}"/>
    <hyperlink ref="G353" r:id="rId403" xr:uid="{00000000-0004-0000-0300-000092010000}"/>
    <hyperlink ref="G354" r:id="rId404" xr:uid="{00000000-0004-0000-0300-000093010000}"/>
    <hyperlink ref="S354" r:id="rId405" xr:uid="{00000000-0004-0000-0300-000094010000}"/>
    <hyperlink ref="S356" r:id="rId406" xr:uid="{00000000-0004-0000-0300-000095010000}"/>
    <hyperlink ref="S357" r:id="rId407" xr:uid="{00000000-0004-0000-0300-000096010000}"/>
    <hyperlink ref="G359" r:id="rId408" xr:uid="{00000000-0004-0000-0300-000097010000}"/>
    <hyperlink ref="G360" r:id="rId409" xr:uid="{00000000-0004-0000-0300-000098010000}"/>
    <hyperlink ref="S360" r:id="rId410" xr:uid="{00000000-0004-0000-0300-000099010000}"/>
    <hyperlink ref="G361" r:id="rId411" xr:uid="{00000000-0004-0000-0300-00009A010000}"/>
    <hyperlink ref="F362" r:id="rId412" xr:uid="{00000000-0004-0000-0300-00009B010000}"/>
    <hyperlink ref="G363" r:id="rId413" xr:uid="{00000000-0004-0000-0300-00009C010000}"/>
    <hyperlink ref="G365" r:id="rId414" xr:uid="{00000000-0004-0000-0300-00009D010000}"/>
    <hyperlink ref="S365" r:id="rId415" xr:uid="{00000000-0004-0000-0300-00009E010000}"/>
    <hyperlink ref="G366" r:id="rId416" xr:uid="{00000000-0004-0000-0300-00009F010000}"/>
    <hyperlink ref="F367" r:id="rId417" location="Echobox=1542741985" xr:uid="{00000000-0004-0000-0300-0000A0010000}"/>
    <hyperlink ref="F368" r:id="rId418" xr:uid="{00000000-0004-0000-0300-0000A1010000}"/>
    <hyperlink ref="S369" r:id="rId419" xr:uid="{00000000-0004-0000-0300-0000A2010000}"/>
    <hyperlink ref="F370" r:id="rId420" xr:uid="{00000000-0004-0000-0300-0000A3010000}"/>
    <hyperlink ref="S370" r:id="rId421" xr:uid="{00000000-0004-0000-0300-0000A4010000}"/>
    <hyperlink ref="F371" r:id="rId422" xr:uid="{00000000-0004-0000-0300-0000A5010000}"/>
    <hyperlink ref="G371" r:id="rId423" xr:uid="{00000000-0004-0000-0300-0000A6010000}"/>
    <hyperlink ref="S374" r:id="rId424" xr:uid="{00000000-0004-0000-0300-0000A7010000}"/>
    <hyperlink ref="G375" r:id="rId425" xr:uid="{00000000-0004-0000-0300-0000A8010000}"/>
    <hyperlink ref="S375" r:id="rId426" xr:uid="{00000000-0004-0000-0300-0000A9010000}"/>
    <hyperlink ref="F376" r:id="rId427" xr:uid="{00000000-0004-0000-0300-0000AA010000}"/>
    <hyperlink ref="G378" r:id="rId428" xr:uid="{00000000-0004-0000-0300-0000AB010000}"/>
    <hyperlink ref="S378" r:id="rId429" xr:uid="{00000000-0004-0000-0300-0000AC010000}"/>
    <hyperlink ref="C379" r:id="rId430" xr:uid="{00000000-0004-0000-0300-0000AD010000}"/>
    <hyperlink ref="F379" r:id="rId431" xr:uid="{00000000-0004-0000-0300-0000AE010000}"/>
    <hyperlink ref="S379" r:id="rId432" xr:uid="{00000000-0004-0000-0300-0000AF010000}"/>
    <hyperlink ref="G380" r:id="rId433" xr:uid="{00000000-0004-0000-0300-0000B0010000}"/>
    <hyperlink ref="S380" r:id="rId434" xr:uid="{00000000-0004-0000-0300-0000B1010000}"/>
    <hyperlink ref="G381" r:id="rId435" xr:uid="{00000000-0004-0000-0300-0000B2010000}"/>
    <hyperlink ref="S382" r:id="rId436" xr:uid="{00000000-0004-0000-0300-0000B3010000}"/>
    <hyperlink ref="S383" r:id="rId437" xr:uid="{00000000-0004-0000-0300-0000B4010000}"/>
    <hyperlink ref="G384" r:id="rId438" xr:uid="{00000000-0004-0000-0300-0000B5010000}"/>
    <hyperlink ref="S386" r:id="rId439" xr:uid="{00000000-0004-0000-0300-0000B6010000}"/>
    <hyperlink ref="G387" r:id="rId440" xr:uid="{00000000-0004-0000-0300-0000B7010000}"/>
    <hyperlink ref="S388" r:id="rId441" xr:uid="{00000000-0004-0000-0300-0000B8010000}"/>
    <hyperlink ref="F390" r:id="rId442" xr:uid="{00000000-0004-0000-0300-0000B9010000}"/>
    <hyperlink ref="S391" r:id="rId443" xr:uid="{00000000-0004-0000-0300-0000BA010000}"/>
    <hyperlink ref="F392" r:id="rId444" xr:uid="{00000000-0004-0000-0300-0000BB010000}"/>
    <hyperlink ref="S393" r:id="rId445" xr:uid="{00000000-0004-0000-0300-0000BC010000}"/>
    <hyperlink ref="F394" r:id="rId446" xr:uid="{00000000-0004-0000-0300-0000BD010000}"/>
    <hyperlink ref="G394" r:id="rId447" xr:uid="{00000000-0004-0000-0300-0000BE010000}"/>
    <hyperlink ref="S394" r:id="rId448" xr:uid="{00000000-0004-0000-0300-0000BF010000}"/>
    <hyperlink ref="F395" r:id="rId449" xr:uid="{00000000-0004-0000-0300-0000C0010000}"/>
    <hyperlink ref="S395" r:id="rId450" xr:uid="{00000000-0004-0000-0300-0000C1010000}"/>
    <hyperlink ref="G397" r:id="rId451" xr:uid="{00000000-0004-0000-0300-0000C2010000}"/>
    <hyperlink ref="S397" r:id="rId452" xr:uid="{00000000-0004-0000-0300-0000C3010000}"/>
    <hyperlink ref="S398" r:id="rId453" xr:uid="{00000000-0004-0000-0300-0000C4010000}"/>
    <hyperlink ref="S400" r:id="rId454" xr:uid="{00000000-0004-0000-0300-0000C5010000}"/>
    <hyperlink ref="F403" r:id="rId455" xr:uid="{00000000-0004-0000-0300-0000C6010000}"/>
    <hyperlink ref="G403" r:id="rId456" xr:uid="{00000000-0004-0000-0300-0000C7010000}"/>
    <hyperlink ref="G405" r:id="rId457" xr:uid="{00000000-0004-0000-0300-0000C8010000}"/>
    <hyperlink ref="F406" r:id="rId458" xr:uid="{00000000-0004-0000-0300-0000C9010000}"/>
    <hyperlink ref="S410" r:id="rId459" xr:uid="{00000000-0004-0000-0300-0000CA010000}"/>
    <hyperlink ref="S411" r:id="rId460" xr:uid="{00000000-0004-0000-0300-0000CB010000}"/>
    <hyperlink ref="G413" r:id="rId461" xr:uid="{00000000-0004-0000-0300-0000CC010000}"/>
    <hyperlink ref="G414" r:id="rId462" xr:uid="{00000000-0004-0000-0300-0000CD010000}"/>
    <hyperlink ref="F416" r:id="rId463" xr:uid="{00000000-0004-0000-0300-0000CE010000}"/>
    <hyperlink ref="G416" r:id="rId464" xr:uid="{00000000-0004-0000-0300-0000CF010000}"/>
    <hyperlink ref="G417" r:id="rId465" xr:uid="{00000000-0004-0000-0300-0000D0010000}"/>
    <hyperlink ref="F420" r:id="rId466" xr:uid="{00000000-0004-0000-0300-0000D1010000}"/>
    <hyperlink ref="G420" r:id="rId467" xr:uid="{00000000-0004-0000-0300-0000D2010000}"/>
    <hyperlink ref="F421" r:id="rId468" xr:uid="{00000000-0004-0000-0300-0000D3010000}"/>
    <hyperlink ref="G421" r:id="rId469" xr:uid="{00000000-0004-0000-0300-0000D4010000}"/>
    <hyperlink ref="F422" r:id="rId470" xr:uid="{00000000-0004-0000-0300-0000D5010000}"/>
    <hyperlink ref="G422" r:id="rId471" xr:uid="{00000000-0004-0000-0300-0000D6010000}"/>
    <hyperlink ref="G425" r:id="rId472" xr:uid="{00000000-0004-0000-0300-0000D7010000}"/>
    <hyperlink ref="S425" r:id="rId473" xr:uid="{00000000-0004-0000-0300-0000D8010000}"/>
    <hyperlink ref="F428" r:id="rId474" xr:uid="{00000000-0004-0000-0300-0000D9010000}"/>
    <hyperlink ref="G428" r:id="rId475" xr:uid="{00000000-0004-0000-0300-0000DA010000}"/>
    <hyperlink ref="S429" r:id="rId476" xr:uid="{00000000-0004-0000-0300-0000DB010000}"/>
    <hyperlink ref="S430" r:id="rId477" xr:uid="{00000000-0004-0000-0300-0000DC010000}"/>
    <hyperlink ref="G431" r:id="rId478" xr:uid="{00000000-0004-0000-0300-0000DD010000}"/>
    <hyperlink ref="S432" r:id="rId479" xr:uid="{00000000-0004-0000-0300-0000DE010000}"/>
    <hyperlink ref="F433" r:id="rId480" xr:uid="{00000000-0004-0000-0300-0000DF010000}"/>
    <hyperlink ref="G433" r:id="rId481" xr:uid="{00000000-0004-0000-0300-0000E0010000}"/>
    <hyperlink ref="G434" r:id="rId482" xr:uid="{00000000-0004-0000-0300-0000E1010000}"/>
    <hyperlink ref="F435" r:id="rId483" xr:uid="{00000000-0004-0000-0300-0000E2010000}"/>
    <hyperlink ref="G436" r:id="rId484" xr:uid="{00000000-0004-0000-0300-0000E3010000}"/>
    <hyperlink ref="G437" r:id="rId485" xr:uid="{00000000-0004-0000-0300-0000E4010000}"/>
    <hyperlink ref="S437" r:id="rId486" xr:uid="{00000000-0004-0000-0300-0000E5010000}"/>
    <hyperlink ref="G438" r:id="rId487" xr:uid="{00000000-0004-0000-0300-0000E6010000}"/>
    <hyperlink ref="S439" r:id="rId488" xr:uid="{00000000-0004-0000-0300-0000E7010000}"/>
    <hyperlink ref="G440" r:id="rId489" xr:uid="{00000000-0004-0000-0300-0000E8010000}"/>
    <hyperlink ref="S440" r:id="rId490" xr:uid="{00000000-0004-0000-0300-0000E9010000}"/>
    <hyperlink ref="F442" r:id="rId491" xr:uid="{00000000-0004-0000-0300-0000EA010000}"/>
    <hyperlink ref="S442" r:id="rId492" xr:uid="{00000000-0004-0000-0300-0000EB010000}"/>
    <hyperlink ref="F443" r:id="rId493" xr:uid="{00000000-0004-0000-0300-0000EC010000}"/>
    <hyperlink ref="G443" r:id="rId494" xr:uid="{00000000-0004-0000-0300-0000ED010000}"/>
    <hyperlink ref="S443" r:id="rId495" xr:uid="{00000000-0004-0000-0300-0000EE010000}"/>
    <hyperlink ref="S444" r:id="rId496" xr:uid="{00000000-0004-0000-0300-0000EF010000}"/>
    <hyperlink ref="F445" r:id="rId497" xr:uid="{00000000-0004-0000-0300-0000F0010000}"/>
    <hyperlink ref="S445" r:id="rId498" xr:uid="{00000000-0004-0000-0300-0000F1010000}"/>
    <hyperlink ref="F448" r:id="rId499" xr:uid="{00000000-0004-0000-0300-0000F2010000}"/>
    <hyperlink ref="G448" r:id="rId500" xr:uid="{00000000-0004-0000-0300-0000F3010000}"/>
    <hyperlink ref="S449" r:id="rId501" xr:uid="{00000000-0004-0000-0300-0000F4010000}"/>
    <hyperlink ref="S450" r:id="rId502" xr:uid="{00000000-0004-0000-0300-0000F5010000}"/>
    <hyperlink ref="S452" r:id="rId503" xr:uid="{00000000-0004-0000-0300-0000F6010000}"/>
    <hyperlink ref="F453" r:id="rId504" xr:uid="{00000000-0004-0000-0300-0000F7010000}"/>
    <hyperlink ref="G453" r:id="rId505" xr:uid="{00000000-0004-0000-0300-0000F8010000}"/>
    <hyperlink ref="G454" r:id="rId506" xr:uid="{00000000-0004-0000-0300-0000F9010000}"/>
    <hyperlink ref="G456" r:id="rId507" xr:uid="{00000000-0004-0000-0300-0000FA010000}"/>
    <hyperlink ref="G459" r:id="rId508" xr:uid="{00000000-0004-0000-0300-0000FB010000}"/>
    <hyperlink ref="S459" r:id="rId509" xr:uid="{00000000-0004-0000-0300-0000FC010000}"/>
    <hyperlink ref="G460" r:id="rId510" xr:uid="{00000000-0004-0000-0300-0000FD010000}"/>
    <hyperlink ref="S460" r:id="rId511" xr:uid="{00000000-0004-0000-0300-0000FE010000}"/>
    <hyperlink ref="F461" r:id="rId512" xr:uid="{00000000-0004-0000-0300-0000FF010000}"/>
    <hyperlink ref="S461" r:id="rId513" xr:uid="{00000000-0004-0000-0300-000000020000}"/>
    <hyperlink ref="G462" r:id="rId514" xr:uid="{00000000-0004-0000-0300-000001020000}"/>
    <hyperlink ref="S462" r:id="rId515" xr:uid="{00000000-0004-0000-0300-000002020000}"/>
    <hyperlink ref="G463" r:id="rId516" xr:uid="{00000000-0004-0000-0300-000003020000}"/>
    <hyperlink ref="S463" r:id="rId517" xr:uid="{00000000-0004-0000-0300-000004020000}"/>
    <hyperlink ref="F464" r:id="rId518" xr:uid="{00000000-0004-0000-0300-000005020000}"/>
    <hyperlink ref="S464" r:id="rId519" xr:uid="{00000000-0004-0000-0300-000006020000}"/>
    <hyperlink ref="G465" r:id="rId520" xr:uid="{00000000-0004-0000-0300-000007020000}"/>
    <hyperlink ref="F467" r:id="rId521" xr:uid="{00000000-0004-0000-0300-000008020000}"/>
    <hyperlink ref="F468" r:id="rId522" xr:uid="{00000000-0004-0000-0300-000009020000}"/>
    <hyperlink ref="S468" r:id="rId523" xr:uid="{00000000-0004-0000-0300-00000A020000}"/>
    <hyperlink ref="F470" r:id="rId524" xr:uid="{00000000-0004-0000-0300-00000B020000}"/>
    <hyperlink ref="F471" r:id="rId525" xr:uid="{00000000-0004-0000-0300-00000C020000}"/>
    <hyperlink ref="S471" r:id="rId526" xr:uid="{00000000-0004-0000-0300-00000D020000}"/>
    <hyperlink ref="F472" r:id="rId527" xr:uid="{00000000-0004-0000-0300-00000E020000}"/>
    <hyperlink ref="S472" r:id="rId528" xr:uid="{00000000-0004-0000-0300-00000F020000}"/>
    <hyperlink ref="F473" r:id="rId529" xr:uid="{00000000-0004-0000-0300-000010020000}"/>
    <hyperlink ref="S473" r:id="rId530" xr:uid="{00000000-0004-0000-0300-000011020000}"/>
    <hyperlink ref="F474" r:id="rId531" xr:uid="{00000000-0004-0000-0300-000012020000}"/>
    <hyperlink ref="S474" r:id="rId532" xr:uid="{00000000-0004-0000-0300-000013020000}"/>
    <hyperlink ref="F475" r:id="rId533" xr:uid="{00000000-0004-0000-0300-000014020000}"/>
    <hyperlink ref="S475" r:id="rId534" xr:uid="{00000000-0004-0000-0300-000015020000}"/>
    <hyperlink ref="F476" r:id="rId535" xr:uid="{00000000-0004-0000-0300-000016020000}"/>
    <hyperlink ref="S476" r:id="rId536" xr:uid="{00000000-0004-0000-0300-000017020000}"/>
    <hyperlink ref="F477" r:id="rId537" xr:uid="{00000000-0004-0000-0300-000018020000}"/>
    <hyperlink ref="S477" r:id="rId538" xr:uid="{00000000-0004-0000-0300-000019020000}"/>
    <hyperlink ref="F478" r:id="rId539" xr:uid="{00000000-0004-0000-0300-00001A020000}"/>
    <hyperlink ref="S478" r:id="rId540" xr:uid="{00000000-0004-0000-0300-00001B020000}"/>
    <hyperlink ref="F479" r:id="rId541" xr:uid="{00000000-0004-0000-0300-00001C020000}"/>
    <hyperlink ref="F481" r:id="rId542" xr:uid="{00000000-0004-0000-0300-00001D020000}"/>
    <hyperlink ref="S481" r:id="rId543" xr:uid="{00000000-0004-0000-0300-00001E020000}"/>
    <hyperlink ref="G482" r:id="rId544" xr:uid="{00000000-0004-0000-0300-00001F020000}"/>
    <hyperlink ref="G484" r:id="rId545" xr:uid="{00000000-0004-0000-0300-000020020000}"/>
    <hyperlink ref="F486" r:id="rId546" xr:uid="{00000000-0004-0000-0300-000021020000}"/>
    <hyperlink ref="S488" r:id="rId547" xr:uid="{00000000-0004-0000-0300-000022020000}"/>
    <hyperlink ref="G489" r:id="rId548" xr:uid="{00000000-0004-0000-0300-000023020000}"/>
    <hyperlink ref="G490" r:id="rId549" xr:uid="{00000000-0004-0000-0300-000024020000}"/>
    <hyperlink ref="G491" r:id="rId550" xr:uid="{00000000-0004-0000-0300-000025020000}"/>
    <hyperlink ref="S491" r:id="rId551" xr:uid="{00000000-0004-0000-0300-000026020000}"/>
    <hyperlink ref="G492" r:id="rId552" xr:uid="{00000000-0004-0000-0300-000027020000}"/>
    <hyperlink ref="F493" r:id="rId553" xr:uid="{00000000-0004-0000-0300-000028020000}"/>
    <hyperlink ref="G496" r:id="rId554" xr:uid="{00000000-0004-0000-0300-000029020000}"/>
    <hyperlink ref="G497" r:id="rId555" xr:uid="{00000000-0004-0000-0300-00002A020000}"/>
    <hyperlink ref="G498" r:id="rId556" xr:uid="{00000000-0004-0000-0300-00002B020000}"/>
    <hyperlink ref="S498" r:id="rId557" xr:uid="{00000000-0004-0000-0300-00002C020000}"/>
    <hyperlink ref="F499" r:id="rId558" xr:uid="{00000000-0004-0000-0300-00002D020000}"/>
    <hyperlink ref="G499" r:id="rId559" xr:uid="{00000000-0004-0000-0300-00002E020000}"/>
    <hyperlink ref="F500" r:id="rId560" xr:uid="{00000000-0004-0000-0300-00002F020000}"/>
    <hyperlink ref="G500" r:id="rId561" xr:uid="{00000000-0004-0000-0300-000030020000}"/>
    <hyperlink ref="G501" r:id="rId562" xr:uid="{00000000-0004-0000-0300-000031020000}"/>
    <hyperlink ref="S501" r:id="rId563" xr:uid="{00000000-0004-0000-0300-000032020000}"/>
    <hyperlink ref="S503" r:id="rId564" xr:uid="{00000000-0004-0000-0300-000033020000}"/>
    <hyperlink ref="G504" r:id="rId565" xr:uid="{00000000-0004-0000-0300-000034020000}"/>
    <hyperlink ref="S504" r:id="rId566" xr:uid="{00000000-0004-0000-0300-000035020000}"/>
    <hyperlink ref="G505" r:id="rId567" xr:uid="{00000000-0004-0000-0300-000036020000}"/>
    <hyperlink ref="S505" r:id="rId568" xr:uid="{00000000-0004-0000-0300-000037020000}"/>
    <hyperlink ref="G506" r:id="rId569" xr:uid="{00000000-0004-0000-0300-000038020000}"/>
    <hyperlink ref="S506" r:id="rId570" xr:uid="{00000000-0004-0000-0300-000039020000}"/>
    <hyperlink ref="F507" r:id="rId571" xr:uid="{00000000-0004-0000-0300-00003A020000}"/>
    <hyperlink ref="G507" r:id="rId572" xr:uid="{00000000-0004-0000-0300-00003B020000}"/>
    <hyperlink ref="S508" r:id="rId573" xr:uid="{00000000-0004-0000-0300-00003C020000}"/>
    <hyperlink ref="G509" r:id="rId574" xr:uid="{00000000-0004-0000-0300-00003D020000}"/>
    <hyperlink ref="G510" r:id="rId575" xr:uid="{00000000-0004-0000-0300-00003E020000}"/>
    <hyperlink ref="G511" r:id="rId576" xr:uid="{00000000-0004-0000-0300-00003F020000}"/>
    <hyperlink ref="S511" r:id="rId577" xr:uid="{00000000-0004-0000-0300-000040020000}"/>
    <hyperlink ref="F512" r:id="rId578" xr:uid="{00000000-0004-0000-0300-000041020000}"/>
    <hyperlink ref="G512" r:id="rId579" xr:uid="{00000000-0004-0000-0300-000042020000}"/>
    <hyperlink ref="F513" r:id="rId580" xr:uid="{00000000-0004-0000-0300-000043020000}"/>
    <hyperlink ref="G513" r:id="rId581" xr:uid="{00000000-0004-0000-0300-000044020000}"/>
    <hyperlink ref="S513" r:id="rId582" xr:uid="{00000000-0004-0000-0300-000045020000}"/>
    <hyperlink ref="G514" r:id="rId583" xr:uid="{00000000-0004-0000-0300-000046020000}"/>
    <hyperlink ref="S515" r:id="rId584" xr:uid="{00000000-0004-0000-0300-000047020000}"/>
    <hyperlink ref="G516" r:id="rId585" xr:uid="{00000000-0004-0000-0300-000048020000}"/>
    <hyperlink ref="G517" r:id="rId586" xr:uid="{00000000-0004-0000-0300-000049020000}"/>
    <hyperlink ref="F519" r:id="rId587" xr:uid="{00000000-0004-0000-0300-00004A020000}"/>
    <hyperlink ref="G519" r:id="rId588" xr:uid="{00000000-0004-0000-0300-00004B020000}"/>
    <hyperlink ref="S519" r:id="rId589" xr:uid="{00000000-0004-0000-0300-00004C020000}"/>
    <hyperlink ref="F520" r:id="rId590" xr:uid="{00000000-0004-0000-0300-00004D020000}"/>
    <hyperlink ref="F521" r:id="rId591" xr:uid="{00000000-0004-0000-0300-00004E020000}"/>
    <hyperlink ref="G521" r:id="rId592" xr:uid="{00000000-0004-0000-0300-00004F020000}"/>
    <hyperlink ref="G523" r:id="rId593" xr:uid="{00000000-0004-0000-0300-000050020000}"/>
    <hyperlink ref="F524" r:id="rId594" xr:uid="{00000000-0004-0000-0300-000051020000}"/>
    <hyperlink ref="F526" r:id="rId595" xr:uid="{00000000-0004-0000-0300-000052020000}"/>
    <hyperlink ref="G526" r:id="rId596" xr:uid="{00000000-0004-0000-0300-000053020000}"/>
    <hyperlink ref="F527" r:id="rId597" xr:uid="{00000000-0004-0000-0300-000054020000}"/>
    <hyperlink ref="F529" r:id="rId598" xr:uid="{00000000-0004-0000-0300-000055020000}"/>
    <hyperlink ref="G529" r:id="rId599" xr:uid="{00000000-0004-0000-0300-000056020000}"/>
    <hyperlink ref="G530" r:id="rId600" xr:uid="{00000000-0004-0000-0300-000057020000}"/>
    <hyperlink ref="F531" r:id="rId601" xr:uid="{00000000-0004-0000-0300-000058020000}"/>
    <hyperlink ref="G531" r:id="rId602" xr:uid="{00000000-0004-0000-0300-000059020000}"/>
    <hyperlink ref="F533" r:id="rId603" xr:uid="{00000000-0004-0000-0300-00005A020000}"/>
    <hyperlink ref="S533" r:id="rId604" xr:uid="{00000000-0004-0000-0300-00005B020000}"/>
    <hyperlink ref="G534" r:id="rId605" xr:uid="{00000000-0004-0000-0300-00005C020000}"/>
    <hyperlink ref="F536" r:id="rId606" xr:uid="{00000000-0004-0000-0300-00005D020000}"/>
    <hyperlink ref="S536" r:id="rId607" xr:uid="{00000000-0004-0000-0300-00005E020000}"/>
    <hyperlink ref="F537" r:id="rId608" xr:uid="{00000000-0004-0000-0300-00005F020000}"/>
    <hyperlink ref="G537" r:id="rId609" xr:uid="{00000000-0004-0000-0300-000060020000}"/>
    <hyperlink ref="F538" r:id="rId610" xr:uid="{00000000-0004-0000-0300-000061020000}"/>
    <hyperlink ref="G538" r:id="rId611" xr:uid="{00000000-0004-0000-0300-000062020000}"/>
    <hyperlink ref="F541" r:id="rId612" xr:uid="{00000000-0004-0000-0300-000063020000}"/>
    <hyperlink ref="G541" r:id="rId613" xr:uid="{00000000-0004-0000-0300-000064020000}"/>
    <hyperlink ref="F542" r:id="rId614" xr:uid="{00000000-0004-0000-0300-000065020000}"/>
    <hyperlink ref="G543" r:id="rId615" xr:uid="{00000000-0004-0000-0300-000066020000}"/>
    <hyperlink ref="S543" r:id="rId616" xr:uid="{00000000-0004-0000-0300-000067020000}"/>
    <hyperlink ref="F545" r:id="rId617" xr:uid="{00000000-0004-0000-0300-000068020000}"/>
    <hyperlink ref="S545" r:id="rId618" xr:uid="{00000000-0004-0000-0300-000069020000}"/>
    <hyperlink ref="F546" r:id="rId619" xr:uid="{00000000-0004-0000-0300-00006A020000}"/>
    <hyperlink ref="F547" r:id="rId620" xr:uid="{00000000-0004-0000-0300-00006B020000}"/>
    <hyperlink ref="F548" r:id="rId621" xr:uid="{00000000-0004-0000-0300-00006C020000}"/>
    <hyperlink ref="G548" r:id="rId622" xr:uid="{00000000-0004-0000-0300-00006D020000}"/>
    <hyperlink ref="F549" r:id="rId623" xr:uid="{00000000-0004-0000-0300-00006E020000}"/>
    <hyperlink ref="S549" r:id="rId624" xr:uid="{00000000-0004-0000-0300-00006F020000}"/>
    <hyperlink ref="F550" r:id="rId625" xr:uid="{00000000-0004-0000-0300-000070020000}"/>
    <hyperlink ref="G550" r:id="rId626" xr:uid="{00000000-0004-0000-0300-000071020000}"/>
    <hyperlink ref="S550" r:id="rId627" xr:uid="{00000000-0004-0000-0300-000072020000}"/>
    <hyperlink ref="G551" r:id="rId628" xr:uid="{00000000-0004-0000-0300-000073020000}"/>
    <hyperlink ref="F552" r:id="rId629" xr:uid="{00000000-0004-0000-0300-000074020000}"/>
    <hyperlink ref="F553" r:id="rId630" xr:uid="{00000000-0004-0000-0300-000075020000}"/>
    <hyperlink ref="G553" r:id="rId631" xr:uid="{00000000-0004-0000-0300-000076020000}"/>
    <hyperlink ref="G554" r:id="rId632" xr:uid="{00000000-0004-0000-0300-000077020000}"/>
    <hyperlink ref="G555" r:id="rId633" xr:uid="{00000000-0004-0000-0300-000078020000}"/>
    <hyperlink ref="S555" r:id="rId634" xr:uid="{00000000-0004-0000-0300-000079020000}"/>
    <hyperlink ref="F557" r:id="rId635" xr:uid="{00000000-0004-0000-0300-00007A020000}"/>
    <hyperlink ref="G558" r:id="rId636" xr:uid="{00000000-0004-0000-0300-00007B020000}"/>
    <hyperlink ref="F559" r:id="rId637" xr:uid="{00000000-0004-0000-0300-00007C020000}"/>
    <hyperlink ref="F560" r:id="rId638" xr:uid="{00000000-0004-0000-0300-00007D020000}"/>
    <hyperlink ref="G560" r:id="rId639" xr:uid="{00000000-0004-0000-0300-00007E020000}"/>
    <hyperlink ref="F561" r:id="rId640" xr:uid="{00000000-0004-0000-0300-00007F020000}"/>
    <hyperlink ref="S561" r:id="rId641" xr:uid="{00000000-0004-0000-0300-000080020000}"/>
    <hyperlink ref="F562" r:id="rId642" xr:uid="{00000000-0004-0000-0300-000081020000}"/>
    <hyperlink ref="G562" r:id="rId643" xr:uid="{00000000-0004-0000-0300-000082020000}"/>
    <hyperlink ref="S562" r:id="rId644" xr:uid="{00000000-0004-0000-0300-000083020000}"/>
    <hyperlink ref="G563" r:id="rId645" xr:uid="{00000000-0004-0000-0300-000084020000}"/>
    <hyperlink ref="F564" r:id="rId646" xr:uid="{00000000-0004-0000-0300-000085020000}"/>
    <hyperlink ref="S564" r:id="rId647" xr:uid="{00000000-0004-0000-0300-000086020000}"/>
    <hyperlink ref="G568" r:id="rId648" xr:uid="{00000000-0004-0000-0300-000087020000}"/>
    <hyperlink ref="S568" r:id="rId649" xr:uid="{00000000-0004-0000-0300-000088020000}"/>
    <hyperlink ref="F569" r:id="rId650" xr:uid="{00000000-0004-0000-0300-000089020000}"/>
    <hyperlink ref="F570" r:id="rId651" xr:uid="{00000000-0004-0000-0300-00008A020000}"/>
    <hyperlink ref="G570" r:id="rId652" xr:uid="{00000000-0004-0000-0300-00008B020000}"/>
    <hyperlink ref="S570" r:id="rId653" xr:uid="{00000000-0004-0000-0300-00008C020000}"/>
    <hyperlink ref="S573" r:id="rId654" xr:uid="{00000000-0004-0000-0300-00008D020000}"/>
    <hyperlink ref="G577" r:id="rId655" xr:uid="{00000000-0004-0000-0300-00008E020000}"/>
    <hyperlink ref="G578" r:id="rId656" xr:uid="{00000000-0004-0000-0300-00008F020000}"/>
    <hyperlink ref="F579" r:id="rId657" xr:uid="{00000000-0004-0000-0300-000090020000}"/>
    <hyperlink ref="G579" r:id="rId658" xr:uid="{00000000-0004-0000-0300-000091020000}"/>
    <hyperlink ref="F580" r:id="rId659" xr:uid="{00000000-0004-0000-0300-000092020000}"/>
    <hyperlink ref="F582" r:id="rId660" xr:uid="{00000000-0004-0000-0300-000093020000}"/>
    <hyperlink ref="F584" r:id="rId661" xr:uid="{00000000-0004-0000-0300-000094020000}"/>
    <hyperlink ref="G584" r:id="rId662" xr:uid="{00000000-0004-0000-0300-000095020000}"/>
    <hyperlink ref="G585" r:id="rId663" xr:uid="{00000000-0004-0000-0300-000096020000}"/>
    <hyperlink ref="S585" r:id="rId664" xr:uid="{00000000-0004-0000-0300-000097020000}"/>
    <hyperlink ref="F586" r:id="rId665" xr:uid="{00000000-0004-0000-0300-000098020000}"/>
    <hyperlink ref="S586" r:id="rId666" xr:uid="{00000000-0004-0000-0300-000099020000}"/>
    <hyperlink ref="F587" r:id="rId667" xr:uid="{00000000-0004-0000-0300-00009A020000}"/>
    <hyperlink ref="F588" r:id="rId668" xr:uid="{00000000-0004-0000-0300-00009B020000}"/>
    <hyperlink ref="F589" r:id="rId669" location=".W_F2bChLQxw.facebook" xr:uid="{00000000-0004-0000-0300-00009C020000}"/>
    <hyperlink ref="S589" r:id="rId670" xr:uid="{00000000-0004-0000-0300-00009D020000}"/>
    <hyperlink ref="F590" r:id="rId671" xr:uid="{00000000-0004-0000-0300-00009E020000}"/>
    <hyperlink ref="G591" r:id="rId672" xr:uid="{00000000-0004-0000-0300-00009F020000}"/>
    <hyperlink ref="S591" r:id="rId673" xr:uid="{00000000-0004-0000-0300-0000A0020000}"/>
    <hyperlink ref="G592" r:id="rId674" xr:uid="{00000000-0004-0000-0300-0000A1020000}"/>
    <hyperlink ref="F593" r:id="rId675" xr:uid="{00000000-0004-0000-0300-0000A2020000}"/>
    <hyperlink ref="G593" r:id="rId676" xr:uid="{00000000-0004-0000-0300-0000A3020000}"/>
    <hyperlink ref="F594" r:id="rId677" xr:uid="{00000000-0004-0000-0300-0000A4020000}"/>
    <hyperlink ref="G594" r:id="rId678" xr:uid="{00000000-0004-0000-0300-0000A5020000}"/>
    <hyperlink ref="G597" r:id="rId679" xr:uid="{00000000-0004-0000-0300-0000A6020000}"/>
    <hyperlink ref="S597" r:id="rId680" xr:uid="{00000000-0004-0000-0300-0000A7020000}"/>
    <hyperlink ref="G598" r:id="rId681" xr:uid="{00000000-0004-0000-0300-0000A8020000}"/>
    <hyperlink ref="S598" r:id="rId682" xr:uid="{00000000-0004-0000-0300-0000A9020000}"/>
    <hyperlink ref="F599" r:id="rId683" xr:uid="{00000000-0004-0000-0300-0000AA020000}"/>
    <hyperlink ref="G599" r:id="rId684" xr:uid="{00000000-0004-0000-0300-0000AB020000}"/>
    <hyperlink ref="F601" r:id="rId685" xr:uid="{00000000-0004-0000-0300-0000AC020000}"/>
    <hyperlink ref="G601" r:id="rId686" xr:uid="{00000000-0004-0000-0300-0000AD020000}"/>
    <hyperlink ref="S602" r:id="rId687" xr:uid="{00000000-0004-0000-0300-0000AE020000}"/>
    <hyperlink ref="F603" r:id="rId688" xr:uid="{00000000-0004-0000-0300-0000AF020000}"/>
    <hyperlink ref="S603" r:id="rId689" xr:uid="{00000000-0004-0000-0300-0000B0020000}"/>
    <hyperlink ref="G604" r:id="rId690" xr:uid="{00000000-0004-0000-0300-0000B1020000}"/>
    <hyperlink ref="S604" r:id="rId691" xr:uid="{00000000-0004-0000-0300-0000B2020000}"/>
    <hyperlink ref="G605" r:id="rId692" xr:uid="{00000000-0004-0000-0300-0000B3020000}"/>
    <hyperlink ref="S605" r:id="rId693" xr:uid="{00000000-0004-0000-0300-0000B4020000}"/>
    <hyperlink ref="G606" r:id="rId694" xr:uid="{00000000-0004-0000-0300-0000B5020000}"/>
    <hyperlink ref="F608" r:id="rId695" xr:uid="{00000000-0004-0000-0300-0000B6020000}"/>
    <hyperlink ref="G608" r:id="rId696" xr:uid="{00000000-0004-0000-0300-0000B7020000}"/>
    <hyperlink ref="G609" r:id="rId697" xr:uid="{00000000-0004-0000-0300-0000B8020000}"/>
    <hyperlink ref="S609" r:id="rId698" xr:uid="{00000000-0004-0000-0300-0000B9020000}"/>
    <hyperlink ref="F610" r:id="rId699" xr:uid="{00000000-0004-0000-0300-0000BA020000}"/>
    <hyperlink ref="F611" r:id="rId700" xr:uid="{00000000-0004-0000-0300-0000BB020000}"/>
    <hyperlink ref="G611" r:id="rId701" xr:uid="{00000000-0004-0000-0300-0000BC020000}"/>
    <hyperlink ref="S611" r:id="rId702" xr:uid="{00000000-0004-0000-0300-0000BD020000}"/>
    <hyperlink ref="F612" r:id="rId703" xr:uid="{00000000-0004-0000-0300-0000BE020000}"/>
    <hyperlink ref="G612" r:id="rId704" xr:uid="{00000000-0004-0000-0300-0000BF020000}"/>
    <hyperlink ref="F613" r:id="rId705" xr:uid="{00000000-0004-0000-0300-0000C0020000}"/>
    <hyperlink ref="G614" r:id="rId706" xr:uid="{00000000-0004-0000-0300-0000C1020000}"/>
    <hyperlink ref="S614" r:id="rId707" xr:uid="{00000000-0004-0000-0300-0000C2020000}"/>
    <hyperlink ref="G615" r:id="rId708" xr:uid="{00000000-0004-0000-0300-0000C3020000}"/>
    <hyperlink ref="S615" r:id="rId709" xr:uid="{00000000-0004-0000-0300-0000C4020000}"/>
    <hyperlink ref="G616" r:id="rId710" xr:uid="{00000000-0004-0000-0300-0000C5020000}"/>
    <hyperlink ref="S616" r:id="rId711" xr:uid="{00000000-0004-0000-0300-0000C6020000}"/>
    <hyperlink ref="G618" r:id="rId712" xr:uid="{00000000-0004-0000-0300-0000C7020000}"/>
    <hyperlink ref="F620" r:id="rId713" xr:uid="{00000000-0004-0000-0300-0000C8020000}"/>
    <hyperlink ref="G620" r:id="rId714" xr:uid="{00000000-0004-0000-0300-0000C9020000}"/>
    <hyperlink ref="G621" r:id="rId715" xr:uid="{00000000-0004-0000-0300-0000CA020000}"/>
    <hyperlink ref="G622" r:id="rId716" xr:uid="{00000000-0004-0000-0300-0000CB020000}"/>
    <hyperlink ref="G623" r:id="rId717" xr:uid="{00000000-0004-0000-0300-0000CC020000}"/>
    <hyperlink ref="G624" r:id="rId718" xr:uid="{00000000-0004-0000-0300-0000CD020000}"/>
    <hyperlink ref="F626" r:id="rId719" xr:uid="{00000000-0004-0000-0300-0000CE020000}"/>
    <hyperlink ref="G626" r:id="rId720" xr:uid="{00000000-0004-0000-0300-0000CF020000}"/>
    <hyperlink ref="F627" r:id="rId721" xr:uid="{00000000-0004-0000-0300-0000D0020000}"/>
    <hyperlink ref="S627" r:id="rId722" xr:uid="{00000000-0004-0000-0300-0000D1020000}"/>
    <hyperlink ref="G628" r:id="rId723" xr:uid="{00000000-0004-0000-0300-0000D2020000}"/>
    <hyperlink ref="F629" r:id="rId724" xr:uid="{00000000-0004-0000-0300-0000D3020000}"/>
    <hyperlink ref="F630" r:id="rId725" xr:uid="{00000000-0004-0000-0300-0000D4020000}"/>
    <hyperlink ref="C631" r:id="rId726" xr:uid="{00000000-0004-0000-0300-0000D5020000}"/>
    <hyperlink ref="F631" r:id="rId727" xr:uid="{00000000-0004-0000-0300-0000D6020000}"/>
    <hyperlink ref="S631" r:id="rId728" xr:uid="{00000000-0004-0000-0300-0000D7020000}"/>
    <hyperlink ref="F632" r:id="rId729" xr:uid="{00000000-0004-0000-0300-0000D8020000}"/>
    <hyperlink ref="S633" r:id="rId730" xr:uid="{00000000-0004-0000-0300-0000D9020000}"/>
    <hyperlink ref="F634" r:id="rId731" xr:uid="{00000000-0004-0000-0300-0000DA020000}"/>
    <hyperlink ref="G634" r:id="rId732" xr:uid="{00000000-0004-0000-0300-0000DB020000}"/>
    <hyperlink ref="F635" r:id="rId733" xr:uid="{00000000-0004-0000-0300-0000DC020000}"/>
    <hyperlink ref="G635" r:id="rId734" xr:uid="{00000000-0004-0000-0300-0000DD020000}"/>
    <hyperlink ref="S636" r:id="rId735" xr:uid="{00000000-0004-0000-0300-0000DE020000}"/>
    <hyperlink ref="G637" r:id="rId736" xr:uid="{00000000-0004-0000-0300-0000DF020000}"/>
    <hyperlink ref="S637" r:id="rId737" xr:uid="{00000000-0004-0000-0300-0000E0020000}"/>
    <hyperlink ref="F638" r:id="rId738" xr:uid="{00000000-0004-0000-0300-0000E1020000}"/>
    <hyperlink ref="G638" r:id="rId739" xr:uid="{00000000-0004-0000-0300-0000E2020000}"/>
    <hyperlink ref="G640" r:id="rId740" xr:uid="{00000000-0004-0000-0300-0000E3020000}"/>
    <hyperlink ref="S640" r:id="rId741" xr:uid="{00000000-0004-0000-0300-0000E4020000}"/>
    <hyperlink ref="G641" r:id="rId742" xr:uid="{00000000-0004-0000-0300-0000E5020000}"/>
    <hyperlink ref="S643" r:id="rId743" xr:uid="{00000000-0004-0000-0300-0000E6020000}"/>
    <hyperlink ref="S644" r:id="rId744" xr:uid="{00000000-0004-0000-0300-0000E7020000}"/>
    <hyperlink ref="F645" r:id="rId745" xr:uid="{00000000-0004-0000-0300-0000E8020000}"/>
    <hyperlink ref="F646" r:id="rId746" xr:uid="{00000000-0004-0000-0300-0000E9020000}"/>
    <hyperlink ref="G646" r:id="rId747" xr:uid="{00000000-0004-0000-0300-0000EA020000}"/>
    <hyperlink ref="S646" r:id="rId748" xr:uid="{00000000-0004-0000-0300-0000EB020000}"/>
    <hyperlink ref="G649" r:id="rId749" xr:uid="{00000000-0004-0000-0300-0000EC020000}"/>
    <hyperlink ref="F650" r:id="rId750" xr:uid="{00000000-0004-0000-0300-0000ED020000}"/>
    <hyperlink ref="G651" r:id="rId751" xr:uid="{00000000-0004-0000-0300-0000EE020000}"/>
    <hyperlink ref="F652" r:id="rId752" xr:uid="{00000000-0004-0000-0300-0000EF020000}"/>
    <hyperlink ref="G654" r:id="rId753" xr:uid="{00000000-0004-0000-0300-0000F0020000}"/>
    <hyperlink ref="S654" r:id="rId754" xr:uid="{00000000-0004-0000-0300-0000F1020000}"/>
    <hyperlink ref="G655" r:id="rId755" xr:uid="{00000000-0004-0000-0300-0000F2020000}"/>
    <hyperlink ref="G656" r:id="rId756" xr:uid="{00000000-0004-0000-0300-0000F3020000}"/>
    <hyperlink ref="F657" r:id="rId757" xr:uid="{00000000-0004-0000-0300-0000F4020000}"/>
    <hyperlink ref="G657" r:id="rId758" xr:uid="{00000000-0004-0000-0300-0000F5020000}"/>
    <hyperlink ref="S658" r:id="rId759" xr:uid="{00000000-0004-0000-0300-0000F6020000}"/>
    <hyperlink ref="F659" r:id="rId760" xr:uid="{00000000-0004-0000-0300-0000F7020000}"/>
    <hyperlink ref="F660" r:id="rId761" xr:uid="{00000000-0004-0000-0300-0000F8020000}"/>
    <hyperlink ref="G660" r:id="rId762" xr:uid="{00000000-0004-0000-0300-0000F9020000}"/>
    <hyperlink ref="G661" r:id="rId763" xr:uid="{00000000-0004-0000-0300-0000FA020000}"/>
    <hyperlink ref="F663" r:id="rId764" xr:uid="{00000000-0004-0000-0300-0000FB020000}"/>
    <hyperlink ref="G664" r:id="rId765" xr:uid="{00000000-0004-0000-0300-0000FC020000}"/>
    <hyperlink ref="S664" r:id="rId766" xr:uid="{00000000-0004-0000-0300-0000FD020000}"/>
    <hyperlink ref="F665" r:id="rId767" xr:uid="{00000000-0004-0000-0300-0000FE020000}"/>
    <hyperlink ref="G665" r:id="rId768" xr:uid="{00000000-0004-0000-0300-0000FF020000}"/>
    <hyperlink ref="F669" r:id="rId769" xr:uid="{00000000-0004-0000-0300-000000030000}"/>
    <hyperlink ref="F670" r:id="rId770" xr:uid="{00000000-0004-0000-0300-000001030000}"/>
    <hyperlink ref="G671" r:id="rId771" xr:uid="{00000000-0004-0000-0300-000002030000}"/>
    <hyperlink ref="F672" r:id="rId772" xr:uid="{00000000-0004-0000-0300-000003030000}"/>
    <hyperlink ref="G672" r:id="rId773" xr:uid="{00000000-0004-0000-0300-000004030000}"/>
    <hyperlink ref="F673" r:id="rId774" xr:uid="{00000000-0004-0000-0300-000005030000}"/>
    <hyperlink ref="G673" r:id="rId775" xr:uid="{00000000-0004-0000-0300-000006030000}"/>
    <hyperlink ref="S673" r:id="rId776" xr:uid="{00000000-0004-0000-0300-000007030000}"/>
    <hyperlink ref="G674" r:id="rId777" xr:uid="{00000000-0004-0000-0300-000008030000}"/>
    <hyperlink ref="G677" r:id="rId778" xr:uid="{00000000-0004-0000-0300-000009030000}"/>
    <hyperlink ref="F679" r:id="rId779" xr:uid="{00000000-0004-0000-0300-00000A030000}"/>
    <hyperlink ref="F680" r:id="rId780" xr:uid="{00000000-0004-0000-0300-00000B030000}"/>
    <hyperlink ref="F682" r:id="rId781" xr:uid="{00000000-0004-0000-0300-00000C030000}"/>
    <hyperlink ref="S682" r:id="rId782" xr:uid="{00000000-0004-0000-0300-00000D030000}"/>
    <hyperlink ref="F683" r:id="rId783" xr:uid="{00000000-0004-0000-0300-00000E030000}"/>
    <hyperlink ref="G683" r:id="rId784" xr:uid="{00000000-0004-0000-0300-00000F030000}"/>
    <hyperlink ref="F685" r:id="rId785" xr:uid="{00000000-0004-0000-0300-000010030000}"/>
    <hyperlink ref="S685" r:id="rId786" xr:uid="{00000000-0004-0000-0300-000011030000}"/>
    <hyperlink ref="G686" r:id="rId787" xr:uid="{00000000-0004-0000-0300-000012030000}"/>
    <hyperlink ref="F687" r:id="rId788" xr:uid="{00000000-0004-0000-0300-000013030000}"/>
    <hyperlink ref="G687" r:id="rId789" xr:uid="{00000000-0004-0000-0300-000014030000}"/>
    <hyperlink ref="G689" r:id="rId790" xr:uid="{00000000-0004-0000-0300-000015030000}"/>
    <hyperlink ref="G690" r:id="rId791" xr:uid="{00000000-0004-0000-0300-000016030000}"/>
    <hyperlink ref="S691" r:id="rId792" xr:uid="{00000000-0004-0000-0300-000017030000}"/>
    <hyperlink ref="G694" r:id="rId793" xr:uid="{00000000-0004-0000-0300-000018030000}"/>
    <hyperlink ref="F696" r:id="rId794" xr:uid="{00000000-0004-0000-0300-000019030000}"/>
    <hyperlink ref="S696" r:id="rId795" xr:uid="{00000000-0004-0000-0300-00001A030000}"/>
    <hyperlink ref="G697" r:id="rId796" xr:uid="{00000000-0004-0000-0300-00001B030000}"/>
    <hyperlink ref="G699" r:id="rId797" xr:uid="{00000000-0004-0000-0300-00001C030000}"/>
    <hyperlink ref="G700" r:id="rId798" xr:uid="{00000000-0004-0000-0300-00001D030000}"/>
    <hyperlink ref="G702" r:id="rId799" xr:uid="{00000000-0004-0000-0300-00001E030000}"/>
    <hyperlink ref="F703" r:id="rId800" xr:uid="{00000000-0004-0000-0300-00001F030000}"/>
    <hyperlink ref="G703" r:id="rId801" xr:uid="{00000000-0004-0000-0300-000020030000}"/>
    <hyperlink ref="F704" r:id="rId802" xr:uid="{00000000-0004-0000-0300-000021030000}"/>
    <hyperlink ref="F705" r:id="rId803" xr:uid="{00000000-0004-0000-0300-000022030000}"/>
    <hyperlink ref="G705" r:id="rId804" xr:uid="{00000000-0004-0000-0300-000023030000}"/>
    <hyperlink ref="S705" r:id="rId805" xr:uid="{00000000-0004-0000-0300-000024030000}"/>
    <hyperlink ref="G706" r:id="rId806" xr:uid="{00000000-0004-0000-0300-000025030000}"/>
    <hyperlink ref="S706" r:id="rId807" xr:uid="{00000000-0004-0000-0300-000026030000}"/>
    <hyperlink ref="G707" r:id="rId808" xr:uid="{00000000-0004-0000-0300-000027030000}"/>
    <hyperlink ref="G710" r:id="rId809" xr:uid="{00000000-0004-0000-0300-000028030000}"/>
    <hyperlink ref="F711" r:id="rId810" xr:uid="{00000000-0004-0000-0300-000029030000}"/>
    <hyperlink ref="G711" r:id="rId811" xr:uid="{00000000-0004-0000-0300-00002A030000}"/>
    <hyperlink ref="S711" r:id="rId812" xr:uid="{00000000-0004-0000-0300-00002B030000}"/>
    <hyperlink ref="F713" r:id="rId813" xr:uid="{00000000-0004-0000-0300-00002C030000}"/>
    <hyperlink ref="G713" r:id="rId814" xr:uid="{00000000-0004-0000-0300-00002D030000}"/>
    <hyperlink ref="G714" r:id="rId815" xr:uid="{00000000-0004-0000-0300-00002E030000}"/>
    <hyperlink ref="S714" r:id="rId816" xr:uid="{00000000-0004-0000-0300-00002F030000}"/>
    <hyperlink ref="G716" r:id="rId817" xr:uid="{00000000-0004-0000-0300-000030030000}"/>
    <hyperlink ref="S717" r:id="rId818" xr:uid="{00000000-0004-0000-0300-000031030000}"/>
    <hyperlink ref="G720" r:id="rId819" xr:uid="{00000000-0004-0000-0300-000032030000}"/>
    <hyperlink ref="F721" r:id="rId820" xr:uid="{00000000-0004-0000-0300-000033030000}"/>
    <hyperlink ref="G722" r:id="rId821" xr:uid="{00000000-0004-0000-0300-000034030000}"/>
    <hyperlink ref="F723" r:id="rId822" xr:uid="{00000000-0004-0000-0300-000035030000}"/>
    <hyperlink ref="G723" r:id="rId823" xr:uid="{00000000-0004-0000-0300-000036030000}"/>
    <hyperlink ref="S725" r:id="rId824" xr:uid="{00000000-0004-0000-0300-000037030000}"/>
    <hyperlink ref="F726" r:id="rId825" xr:uid="{00000000-0004-0000-0300-000038030000}"/>
    <hyperlink ref="F727" r:id="rId826" xr:uid="{00000000-0004-0000-0300-000039030000}"/>
    <hyperlink ref="S727" r:id="rId827" xr:uid="{00000000-0004-0000-0300-00003A030000}"/>
    <hyperlink ref="F728" r:id="rId828" xr:uid="{00000000-0004-0000-0300-00003B030000}"/>
    <hyperlink ref="S728" r:id="rId829" xr:uid="{00000000-0004-0000-0300-00003C030000}"/>
    <hyperlink ref="F729" r:id="rId830" xr:uid="{00000000-0004-0000-0300-00003D030000}"/>
    <hyperlink ref="F730" r:id="rId831" xr:uid="{00000000-0004-0000-0300-00003E030000}"/>
    <hyperlink ref="F731" r:id="rId832" xr:uid="{00000000-0004-0000-0300-00003F030000}"/>
    <hyperlink ref="S731" r:id="rId833" xr:uid="{00000000-0004-0000-0300-000040030000}"/>
    <hyperlink ref="G732" r:id="rId834" xr:uid="{00000000-0004-0000-0300-000041030000}"/>
    <hyperlink ref="S732" r:id="rId835" xr:uid="{00000000-0004-0000-0300-000042030000}"/>
    <hyperlink ref="G733" r:id="rId836" xr:uid="{00000000-0004-0000-0300-000043030000}"/>
    <hyperlink ref="G735" r:id="rId837" xr:uid="{00000000-0004-0000-0300-000044030000}"/>
    <hyperlink ref="S736" r:id="rId838" xr:uid="{00000000-0004-0000-0300-000045030000}"/>
    <hyperlink ref="F737" r:id="rId839" xr:uid="{00000000-0004-0000-0300-000046030000}"/>
    <hyperlink ref="G737" r:id="rId840" xr:uid="{00000000-0004-0000-0300-000047030000}"/>
    <hyperlink ref="G739" r:id="rId841" xr:uid="{00000000-0004-0000-0300-000048030000}"/>
    <hyperlink ref="G740" r:id="rId842" xr:uid="{00000000-0004-0000-0300-000049030000}"/>
    <hyperlink ref="G742" r:id="rId843" xr:uid="{00000000-0004-0000-0300-00004A030000}"/>
    <hyperlink ref="G743" r:id="rId844" xr:uid="{00000000-0004-0000-0300-00004B030000}"/>
    <hyperlink ref="F744" r:id="rId845" xr:uid="{00000000-0004-0000-0300-00004C030000}"/>
    <hyperlink ref="G744" r:id="rId846" xr:uid="{00000000-0004-0000-0300-00004D030000}"/>
    <hyperlink ref="G745" r:id="rId847" xr:uid="{00000000-0004-0000-0300-00004E030000}"/>
    <hyperlink ref="G746" r:id="rId848" xr:uid="{00000000-0004-0000-0300-00004F030000}"/>
    <hyperlink ref="G748" r:id="rId849" xr:uid="{00000000-0004-0000-0300-000050030000}"/>
    <hyperlink ref="F749" r:id="rId850" xr:uid="{00000000-0004-0000-0300-000051030000}"/>
    <hyperlink ref="G749" r:id="rId851" xr:uid="{00000000-0004-0000-0300-000052030000}"/>
    <hyperlink ref="F750" r:id="rId852" xr:uid="{00000000-0004-0000-0300-000053030000}"/>
    <hyperlink ref="F752" r:id="rId853" xr:uid="{00000000-0004-0000-0300-000054030000}"/>
    <hyperlink ref="G754" r:id="rId854" xr:uid="{00000000-0004-0000-0300-000055030000}"/>
    <hyperlink ref="F755" r:id="rId855" xr:uid="{00000000-0004-0000-0300-000056030000}"/>
    <hyperlink ref="F756" r:id="rId856" xr:uid="{00000000-0004-0000-0300-000057030000}"/>
    <hyperlink ref="F757" r:id="rId857" xr:uid="{00000000-0004-0000-0300-000058030000}"/>
    <hyperlink ref="F759" r:id="rId858" location="ns_campaign=rrss-inducido&amp;ns_mchannel=abc-es&amp;ns_source=tw&amp;ns_linkname=noticia-foto&amp;ns_fee=0" xr:uid="{00000000-0004-0000-0300-000059030000}"/>
    <hyperlink ref="F761" r:id="rId859" xr:uid="{00000000-0004-0000-0300-00005A030000}"/>
    <hyperlink ref="F762" r:id="rId860" xr:uid="{00000000-0004-0000-0300-00005B030000}"/>
    <hyperlink ref="G763" r:id="rId861" xr:uid="{00000000-0004-0000-0300-00005C030000}"/>
    <hyperlink ref="S763" r:id="rId862" xr:uid="{00000000-0004-0000-0300-00005D030000}"/>
    <hyperlink ref="F764" r:id="rId863" xr:uid="{00000000-0004-0000-0300-00005E030000}"/>
    <hyperlink ref="F765" r:id="rId864" xr:uid="{00000000-0004-0000-0300-00005F030000}"/>
    <hyperlink ref="S765" r:id="rId865" xr:uid="{00000000-0004-0000-0300-000060030000}"/>
    <hyperlink ref="F768" r:id="rId866" xr:uid="{00000000-0004-0000-0300-000061030000}"/>
    <hyperlink ref="G768" r:id="rId867" xr:uid="{00000000-0004-0000-0300-000062030000}"/>
    <hyperlink ref="F769" r:id="rId868" xr:uid="{00000000-0004-0000-0300-000063030000}"/>
    <hyperlink ref="S769" r:id="rId869" xr:uid="{00000000-0004-0000-0300-000064030000}"/>
    <hyperlink ref="G770" r:id="rId870" xr:uid="{00000000-0004-0000-0300-000065030000}"/>
    <hyperlink ref="S770" r:id="rId871" xr:uid="{00000000-0004-0000-0300-000066030000}"/>
    <hyperlink ref="G771" r:id="rId872" xr:uid="{00000000-0004-0000-0300-000067030000}"/>
    <hyperlink ref="S771" r:id="rId873" xr:uid="{00000000-0004-0000-0300-000068030000}"/>
    <hyperlink ref="F772" r:id="rId874" xr:uid="{00000000-0004-0000-0300-000069030000}"/>
    <hyperlink ref="G772" r:id="rId875" xr:uid="{00000000-0004-0000-0300-00006A030000}"/>
    <hyperlink ref="G773" r:id="rId876" xr:uid="{00000000-0004-0000-0300-00006B030000}"/>
    <hyperlink ref="F774" r:id="rId877" xr:uid="{00000000-0004-0000-0300-00006C030000}"/>
    <hyperlink ref="S774" r:id="rId878" xr:uid="{00000000-0004-0000-0300-00006D030000}"/>
    <hyperlink ref="F775" r:id="rId879" xr:uid="{00000000-0004-0000-0300-00006E030000}"/>
    <hyperlink ref="F776" r:id="rId880" xr:uid="{00000000-0004-0000-0300-00006F030000}"/>
    <hyperlink ref="G776" r:id="rId881" xr:uid="{00000000-0004-0000-0300-000070030000}"/>
    <hyperlink ref="F777" r:id="rId882" xr:uid="{00000000-0004-0000-0300-000071030000}"/>
    <hyperlink ref="S777" r:id="rId883" xr:uid="{00000000-0004-0000-0300-000072030000}"/>
    <hyperlink ref="S779" r:id="rId884" xr:uid="{00000000-0004-0000-0300-000073030000}"/>
    <hyperlink ref="G780" r:id="rId885" xr:uid="{00000000-0004-0000-0300-000074030000}"/>
    <hyperlink ref="F781" r:id="rId886" xr:uid="{00000000-0004-0000-0300-000075030000}"/>
    <hyperlink ref="G781" r:id="rId887" xr:uid="{00000000-0004-0000-0300-000076030000}"/>
    <hyperlink ref="F782" r:id="rId888" xr:uid="{00000000-0004-0000-0300-000077030000}"/>
    <hyperlink ref="G782" r:id="rId889" xr:uid="{00000000-0004-0000-0300-000078030000}"/>
    <hyperlink ref="G783" r:id="rId890" xr:uid="{00000000-0004-0000-0300-000079030000}"/>
    <hyperlink ref="S783" r:id="rId891" xr:uid="{00000000-0004-0000-0300-00007A030000}"/>
    <hyperlink ref="F784" r:id="rId892" xr:uid="{00000000-0004-0000-0300-00007B030000}"/>
    <hyperlink ref="G784" r:id="rId893" xr:uid="{00000000-0004-0000-0300-00007C030000}"/>
    <hyperlink ref="F786" r:id="rId894" xr:uid="{00000000-0004-0000-0300-00007D030000}"/>
    <hyperlink ref="G787" r:id="rId895" xr:uid="{00000000-0004-0000-0300-00007E030000}"/>
    <hyperlink ref="F788" r:id="rId896" xr:uid="{00000000-0004-0000-0300-00007F030000}"/>
    <hyperlink ref="G789" r:id="rId897" xr:uid="{00000000-0004-0000-0300-000080030000}"/>
    <hyperlink ref="S789" r:id="rId898" xr:uid="{00000000-0004-0000-0300-000081030000}"/>
    <hyperlink ref="F790" r:id="rId899" xr:uid="{00000000-0004-0000-0300-000082030000}"/>
    <hyperlink ref="G790" r:id="rId900" xr:uid="{00000000-0004-0000-0300-000083030000}"/>
    <hyperlink ref="S792" r:id="rId901" xr:uid="{00000000-0004-0000-0300-000084030000}"/>
    <hyperlink ref="G793" r:id="rId902" xr:uid="{00000000-0004-0000-0300-000085030000}"/>
    <hyperlink ref="G794" r:id="rId903" xr:uid="{00000000-0004-0000-0300-000086030000}"/>
    <hyperlink ref="G795" r:id="rId904" xr:uid="{00000000-0004-0000-0300-000087030000}"/>
    <hyperlink ref="S795" r:id="rId905" xr:uid="{00000000-0004-0000-0300-000088030000}"/>
    <hyperlink ref="F797" r:id="rId906" xr:uid="{00000000-0004-0000-0300-000089030000}"/>
    <hyperlink ref="G797" r:id="rId907" xr:uid="{00000000-0004-0000-0300-00008A030000}"/>
    <hyperlink ref="F798" r:id="rId908" xr:uid="{00000000-0004-0000-0300-00008B030000}"/>
    <hyperlink ref="G798" r:id="rId909" xr:uid="{00000000-0004-0000-0300-00008C030000}"/>
    <hyperlink ref="F799" r:id="rId910" xr:uid="{00000000-0004-0000-0300-00008D030000}"/>
    <hyperlink ref="G801" r:id="rId911" xr:uid="{00000000-0004-0000-0300-00008E030000}"/>
    <hyperlink ref="S801" r:id="rId912" xr:uid="{00000000-0004-0000-0300-00008F030000}"/>
    <hyperlink ref="G802" r:id="rId913" xr:uid="{00000000-0004-0000-0300-000090030000}"/>
    <hyperlink ref="G803" r:id="rId914" xr:uid="{00000000-0004-0000-0300-000091030000}"/>
    <hyperlink ref="S803" r:id="rId915" xr:uid="{00000000-0004-0000-0300-000092030000}"/>
    <hyperlink ref="G804" r:id="rId916" xr:uid="{00000000-0004-0000-0300-000093030000}"/>
    <hyperlink ref="S804" r:id="rId917" xr:uid="{00000000-0004-0000-0300-000094030000}"/>
    <hyperlink ref="F805" r:id="rId918" xr:uid="{00000000-0004-0000-0300-000095030000}"/>
    <hyperlink ref="S805" r:id="rId919" xr:uid="{00000000-0004-0000-0300-000096030000}"/>
    <hyperlink ref="F806" r:id="rId920" location="ns_campaign=gs-ms&amp;ns_mchannel=diariosur&amp;ns_source=tw&amp;ns_linkname=ltl" xr:uid="{00000000-0004-0000-0300-000097030000}"/>
    <hyperlink ref="S806" r:id="rId921" xr:uid="{00000000-0004-0000-0300-000098030000}"/>
    <hyperlink ref="F807" r:id="rId922" xr:uid="{00000000-0004-0000-0300-000099030000}"/>
    <hyperlink ref="G807" r:id="rId923" xr:uid="{00000000-0004-0000-0300-00009A030000}"/>
    <hyperlink ref="S807" r:id="rId924" xr:uid="{00000000-0004-0000-0300-00009B030000}"/>
    <hyperlink ref="F808" r:id="rId925" xr:uid="{00000000-0004-0000-0300-00009C030000}"/>
    <hyperlink ref="G808" r:id="rId926" xr:uid="{00000000-0004-0000-0300-00009D030000}"/>
    <hyperlink ref="F809" r:id="rId927" xr:uid="{00000000-0004-0000-0300-00009E030000}"/>
    <hyperlink ref="G809" r:id="rId928" xr:uid="{00000000-0004-0000-0300-00009F030000}"/>
    <hyperlink ref="S809" r:id="rId929" xr:uid="{00000000-0004-0000-0300-0000A0030000}"/>
    <hyperlink ref="F810" r:id="rId930" xr:uid="{00000000-0004-0000-0300-0000A1030000}"/>
    <hyperlink ref="S810" r:id="rId931" xr:uid="{00000000-0004-0000-0300-0000A2030000}"/>
    <hyperlink ref="F811" r:id="rId932" xr:uid="{00000000-0004-0000-0300-0000A3030000}"/>
    <hyperlink ref="S811" r:id="rId933" xr:uid="{00000000-0004-0000-0300-0000A4030000}"/>
    <hyperlink ref="F812" r:id="rId934" xr:uid="{00000000-0004-0000-0300-0000A5030000}"/>
    <hyperlink ref="S812" r:id="rId935" xr:uid="{00000000-0004-0000-0300-0000A6030000}"/>
    <hyperlink ref="G813" r:id="rId936" xr:uid="{00000000-0004-0000-0300-0000A7030000}"/>
    <hyperlink ref="F814" r:id="rId937" xr:uid="{00000000-0004-0000-0300-0000A8030000}"/>
    <hyperlink ref="G814" r:id="rId938" xr:uid="{00000000-0004-0000-0300-0000A9030000}"/>
    <hyperlink ref="G815" r:id="rId939" xr:uid="{00000000-0004-0000-0300-0000AA030000}"/>
    <hyperlink ref="F816" r:id="rId940" xr:uid="{00000000-0004-0000-0300-0000AB030000}"/>
    <hyperlink ref="F817" r:id="rId941" xr:uid="{00000000-0004-0000-0300-0000AC030000}"/>
    <hyperlink ref="G819" r:id="rId942" xr:uid="{00000000-0004-0000-0300-0000AD030000}"/>
    <hyperlink ref="F820" r:id="rId943" xr:uid="{00000000-0004-0000-0300-0000AE030000}"/>
    <hyperlink ref="S820" r:id="rId944" xr:uid="{00000000-0004-0000-0300-0000AF030000}"/>
    <hyperlink ref="S822" r:id="rId945" xr:uid="{00000000-0004-0000-0300-0000B0030000}"/>
    <hyperlink ref="G823" r:id="rId946" xr:uid="{00000000-0004-0000-0300-0000B1030000}"/>
    <hyperlink ref="F824" r:id="rId947" xr:uid="{00000000-0004-0000-0300-0000B2030000}"/>
    <hyperlink ref="G824" r:id="rId948" xr:uid="{00000000-0004-0000-0300-0000B3030000}"/>
    <hyperlink ref="G825" r:id="rId949" xr:uid="{00000000-0004-0000-0300-0000B4030000}"/>
    <hyperlink ref="G826" r:id="rId950" xr:uid="{00000000-0004-0000-0300-0000B5030000}"/>
    <hyperlink ref="G828" r:id="rId951" xr:uid="{00000000-0004-0000-0300-0000B6030000}"/>
    <hyperlink ref="S830" r:id="rId952" xr:uid="{00000000-0004-0000-0300-0000B7030000}"/>
    <hyperlink ref="F831" r:id="rId953" xr:uid="{00000000-0004-0000-0300-0000B8030000}"/>
    <hyperlink ref="G831" r:id="rId954" xr:uid="{00000000-0004-0000-0300-0000B9030000}"/>
    <hyperlink ref="S831" r:id="rId955" xr:uid="{00000000-0004-0000-0300-0000BA030000}"/>
    <hyperlink ref="S833" r:id="rId956" xr:uid="{00000000-0004-0000-0300-0000BB030000}"/>
    <hyperlink ref="F835" r:id="rId957" xr:uid="{00000000-0004-0000-0300-0000BC030000}"/>
    <hyperlink ref="S835" r:id="rId958" xr:uid="{00000000-0004-0000-0300-0000BD030000}"/>
    <hyperlink ref="G836" r:id="rId959" xr:uid="{00000000-0004-0000-0300-0000BE030000}"/>
    <hyperlink ref="F838" r:id="rId960" xr:uid="{00000000-0004-0000-0300-0000BF030000}"/>
    <hyperlink ref="F839" r:id="rId961" xr:uid="{00000000-0004-0000-0300-0000C0030000}"/>
    <hyperlink ref="S839" r:id="rId962" xr:uid="{00000000-0004-0000-0300-0000C1030000}"/>
    <hyperlink ref="G840" r:id="rId963" xr:uid="{00000000-0004-0000-0300-0000C2030000}"/>
    <hyperlink ref="G841" r:id="rId964" xr:uid="{00000000-0004-0000-0300-0000C3030000}"/>
    <hyperlink ref="S841" r:id="rId965" xr:uid="{00000000-0004-0000-0300-0000C4030000}"/>
    <hyperlink ref="F842" r:id="rId966" xr:uid="{00000000-0004-0000-0300-0000C5030000}"/>
    <hyperlink ref="G842" r:id="rId967" xr:uid="{00000000-0004-0000-0300-0000C6030000}"/>
    <hyperlink ref="G843" r:id="rId968" xr:uid="{00000000-0004-0000-0300-0000C7030000}"/>
    <hyperlink ref="S843" r:id="rId969" xr:uid="{00000000-0004-0000-0300-0000C8030000}"/>
    <hyperlink ref="F844" r:id="rId970" xr:uid="{00000000-0004-0000-0300-0000C9030000}"/>
    <hyperlink ref="G844" r:id="rId971" xr:uid="{00000000-0004-0000-0300-0000CA030000}"/>
    <hyperlink ref="G845" r:id="rId972" xr:uid="{00000000-0004-0000-0300-0000CB030000}"/>
    <hyperlink ref="G846" r:id="rId973" xr:uid="{00000000-0004-0000-0300-0000CC030000}"/>
    <hyperlink ref="G847" r:id="rId974" xr:uid="{00000000-0004-0000-0300-0000CD030000}"/>
    <hyperlink ref="G848" r:id="rId975" xr:uid="{00000000-0004-0000-0300-0000CE030000}"/>
    <hyperlink ref="S848" r:id="rId976" xr:uid="{00000000-0004-0000-0300-0000CF030000}"/>
    <hyperlink ref="G849" r:id="rId977" xr:uid="{00000000-0004-0000-0300-0000D0030000}"/>
    <hyperlink ref="S850" r:id="rId978" xr:uid="{00000000-0004-0000-0300-0000D1030000}"/>
    <hyperlink ref="F851" r:id="rId979" xr:uid="{00000000-0004-0000-0300-0000D2030000}"/>
    <hyperlink ref="G851" r:id="rId980" xr:uid="{00000000-0004-0000-0300-0000D3030000}"/>
    <hyperlink ref="F853" r:id="rId981" xr:uid="{00000000-0004-0000-0300-0000D4030000}"/>
    <hyperlink ref="G853" r:id="rId982" xr:uid="{00000000-0004-0000-0300-0000D5030000}"/>
    <hyperlink ref="F854" r:id="rId983" xr:uid="{00000000-0004-0000-0300-0000D6030000}"/>
    <hyperlink ref="S854" r:id="rId984" xr:uid="{00000000-0004-0000-0300-0000D7030000}"/>
    <hyperlink ref="F855" r:id="rId985" xr:uid="{00000000-0004-0000-0300-0000D8030000}"/>
    <hyperlink ref="G856" r:id="rId986" xr:uid="{00000000-0004-0000-0300-0000D9030000}"/>
    <hyperlink ref="R856" r:id="rId987" xr:uid="{00000000-0004-0000-0300-0000DA030000}"/>
    <hyperlink ref="S856" r:id="rId988" xr:uid="{00000000-0004-0000-0300-0000DB030000}"/>
    <hyperlink ref="F858" r:id="rId989" xr:uid="{00000000-0004-0000-0300-0000DC030000}"/>
    <hyperlink ref="G858" r:id="rId990" xr:uid="{00000000-0004-0000-0300-0000DD030000}"/>
    <hyperlink ref="F860" r:id="rId991" xr:uid="{00000000-0004-0000-0300-0000DE030000}"/>
    <hyperlink ref="S860" r:id="rId992" xr:uid="{00000000-0004-0000-0300-0000DF030000}"/>
    <hyperlink ref="F861" r:id="rId993" xr:uid="{00000000-0004-0000-0300-0000E0030000}"/>
    <hyperlink ref="G861" r:id="rId994" xr:uid="{00000000-0004-0000-0300-0000E1030000}"/>
    <hyperlink ref="S861" r:id="rId995" xr:uid="{00000000-0004-0000-0300-0000E2030000}"/>
    <hyperlink ref="F862" r:id="rId996" xr:uid="{00000000-0004-0000-0300-0000E3030000}"/>
    <hyperlink ref="G863" r:id="rId997" xr:uid="{00000000-0004-0000-0300-0000E4030000}"/>
    <hyperlink ref="S863" r:id="rId998" xr:uid="{00000000-0004-0000-0300-0000E5030000}"/>
    <hyperlink ref="F864" r:id="rId999" xr:uid="{00000000-0004-0000-0300-0000E6030000}"/>
    <hyperlink ref="G864" r:id="rId1000" xr:uid="{00000000-0004-0000-0300-0000E7030000}"/>
    <hyperlink ref="F865" r:id="rId1001" xr:uid="{00000000-0004-0000-0300-0000E8030000}"/>
    <hyperlink ref="G865" r:id="rId1002" xr:uid="{00000000-0004-0000-0300-0000E9030000}"/>
    <hyperlink ref="G866" r:id="rId1003" xr:uid="{00000000-0004-0000-0300-0000EA030000}"/>
    <hyperlink ref="G867" r:id="rId1004" xr:uid="{00000000-0004-0000-0300-0000EB030000}"/>
    <hyperlink ref="G868" r:id="rId1005" xr:uid="{00000000-0004-0000-0300-0000EC030000}"/>
    <hyperlink ref="S868" r:id="rId1006" xr:uid="{00000000-0004-0000-0300-0000ED030000}"/>
    <hyperlink ref="F870" r:id="rId1007" location="ns_campaign=amp-rrss-inducido&amp;ns_mchannel=abc-es&amp;ns_source=tw&amp;ns_linkname=noticia.foto&amp;ns_fee=0" xr:uid="{00000000-0004-0000-0300-0000EE030000}"/>
    <hyperlink ref="G871" r:id="rId1008" xr:uid="{00000000-0004-0000-0300-0000EF030000}"/>
    <hyperlink ref="G872" r:id="rId1009" xr:uid="{00000000-0004-0000-0300-0000F0030000}"/>
    <hyperlink ref="F873" r:id="rId1010" xr:uid="{00000000-0004-0000-0300-0000F1030000}"/>
    <hyperlink ref="S873" r:id="rId1011" xr:uid="{00000000-0004-0000-0300-0000F2030000}"/>
    <hyperlink ref="G874" r:id="rId1012" xr:uid="{00000000-0004-0000-0300-0000F3030000}"/>
    <hyperlink ref="S875" r:id="rId1013" xr:uid="{00000000-0004-0000-0300-0000F4030000}"/>
    <hyperlink ref="F877" r:id="rId1014" xr:uid="{00000000-0004-0000-0300-0000F5030000}"/>
    <hyperlink ref="S879" r:id="rId1015" xr:uid="{00000000-0004-0000-0300-0000F6030000}"/>
    <hyperlink ref="F883" r:id="rId1016" xr:uid="{00000000-0004-0000-0300-0000F7030000}"/>
    <hyperlink ref="G883" r:id="rId1017" xr:uid="{00000000-0004-0000-0300-0000F8030000}"/>
    <hyperlink ref="F884" r:id="rId1018" xr:uid="{00000000-0004-0000-0300-0000F9030000}"/>
    <hyperlink ref="G884" r:id="rId1019" xr:uid="{00000000-0004-0000-0300-0000FA030000}"/>
    <hyperlink ref="S884" r:id="rId1020" xr:uid="{00000000-0004-0000-0300-0000FB030000}"/>
    <hyperlink ref="F885" r:id="rId1021" xr:uid="{00000000-0004-0000-0300-0000FC030000}"/>
    <hyperlink ref="G885" r:id="rId1022" xr:uid="{00000000-0004-0000-0300-0000FD030000}"/>
    <hyperlink ref="F886" r:id="rId1023" xr:uid="{00000000-0004-0000-0300-0000FE030000}"/>
    <hyperlink ref="G886" r:id="rId1024" xr:uid="{00000000-0004-0000-0300-0000FF030000}"/>
    <hyperlink ref="S886" r:id="rId1025" xr:uid="{00000000-0004-0000-0300-000000040000}"/>
    <hyperlink ref="F887" r:id="rId1026" xr:uid="{00000000-0004-0000-0300-000001040000}"/>
    <hyperlink ref="F888" r:id="rId1027" xr:uid="{00000000-0004-0000-0300-000002040000}"/>
    <hyperlink ref="G889" r:id="rId1028" xr:uid="{00000000-0004-0000-0300-000003040000}"/>
    <hyperlink ref="S889" r:id="rId1029" xr:uid="{00000000-0004-0000-0300-000004040000}"/>
    <hyperlink ref="G891" r:id="rId1030" xr:uid="{00000000-0004-0000-0300-000005040000}"/>
    <hyperlink ref="S891" r:id="rId1031" xr:uid="{00000000-0004-0000-0300-000006040000}"/>
    <hyperlink ref="S893" r:id="rId1032" xr:uid="{00000000-0004-0000-0300-000007040000}"/>
    <hyperlink ref="F894" r:id="rId1033" xr:uid="{00000000-0004-0000-0300-000008040000}"/>
    <hyperlink ref="S894" r:id="rId1034" xr:uid="{00000000-0004-0000-0300-000009040000}"/>
    <hyperlink ref="F895" r:id="rId1035" xr:uid="{00000000-0004-0000-0300-00000A040000}"/>
    <hyperlink ref="G895" r:id="rId1036" xr:uid="{00000000-0004-0000-0300-00000B040000}"/>
    <hyperlink ref="G897" r:id="rId1037" xr:uid="{00000000-0004-0000-0300-00000C040000}"/>
    <hyperlink ref="S898" r:id="rId1038" xr:uid="{00000000-0004-0000-0300-00000D040000}"/>
    <hyperlink ref="F899" r:id="rId1039" xr:uid="{00000000-0004-0000-0300-00000E040000}"/>
    <hyperlink ref="G899" r:id="rId1040" xr:uid="{00000000-0004-0000-0300-00000F040000}"/>
    <hyperlink ref="S900" r:id="rId1041" xr:uid="{00000000-0004-0000-0300-000010040000}"/>
    <hyperlink ref="S901" r:id="rId1042" xr:uid="{00000000-0004-0000-0300-000011040000}"/>
    <hyperlink ref="F902" r:id="rId1043" xr:uid="{00000000-0004-0000-0300-000012040000}"/>
    <hyperlink ref="G902" r:id="rId1044" xr:uid="{00000000-0004-0000-0300-000013040000}"/>
    <hyperlink ref="G903" r:id="rId1045" xr:uid="{00000000-0004-0000-0300-000014040000}"/>
    <hyperlink ref="S903" r:id="rId1046" xr:uid="{00000000-0004-0000-0300-000015040000}"/>
    <hyperlink ref="F905" r:id="rId1047" xr:uid="{00000000-0004-0000-0300-000016040000}"/>
    <hyperlink ref="G905" r:id="rId1048" xr:uid="{00000000-0004-0000-0300-000017040000}"/>
    <hyperlink ref="F906" r:id="rId1049" xr:uid="{00000000-0004-0000-0300-000018040000}"/>
    <hyperlink ref="S906" r:id="rId1050" xr:uid="{00000000-0004-0000-0300-000019040000}"/>
    <hyperlink ref="G907" r:id="rId1051" xr:uid="{00000000-0004-0000-0300-00001A040000}"/>
    <hyperlink ref="S907" r:id="rId1052" xr:uid="{00000000-0004-0000-0300-00001B040000}"/>
    <hyperlink ref="G909" r:id="rId1053" xr:uid="{00000000-0004-0000-0300-00001C040000}"/>
    <hyperlink ref="S909" r:id="rId1054" xr:uid="{00000000-0004-0000-0300-00001D040000}"/>
    <hyperlink ref="F910" r:id="rId1055" xr:uid="{00000000-0004-0000-0300-00001E040000}"/>
    <hyperlink ref="G910" r:id="rId1056" xr:uid="{00000000-0004-0000-0300-00001F040000}"/>
    <hyperlink ref="S910" r:id="rId1057" xr:uid="{00000000-0004-0000-0300-000020040000}"/>
    <hyperlink ref="G911" r:id="rId1058" xr:uid="{00000000-0004-0000-0300-000021040000}"/>
    <hyperlink ref="G912" r:id="rId1059" xr:uid="{00000000-0004-0000-0300-000022040000}"/>
    <hyperlink ref="F913" r:id="rId1060" xr:uid="{00000000-0004-0000-0300-000023040000}"/>
    <hyperlink ref="G913" r:id="rId1061" xr:uid="{00000000-0004-0000-0300-000024040000}"/>
    <hyperlink ref="F914" r:id="rId1062" xr:uid="{00000000-0004-0000-0300-000025040000}"/>
    <hyperlink ref="G914" r:id="rId1063" xr:uid="{00000000-0004-0000-0300-000026040000}"/>
    <hyperlink ref="F916" r:id="rId1064" xr:uid="{00000000-0004-0000-0300-000027040000}"/>
    <hyperlink ref="G917" r:id="rId1065" xr:uid="{00000000-0004-0000-0300-000028040000}"/>
    <hyperlink ref="F919" r:id="rId1066" xr:uid="{00000000-0004-0000-0300-000029040000}"/>
    <hyperlink ref="S920" r:id="rId1067" xr:uid="{00000000-0004-0000-0300-00002A040000}"/>
    <hyperlink ref="G921" r:id="rId1068" xr:uid="{00000000-0004-0000-0300-00002B040000}"/>
    <hyperlink ref="S921" r:id="rId1069" xr:uid="{00000000-0004-0000-0300-00002C040000}"/>
    <hyperlink ref="G922" r:id="rId1070" xr:uid="{00000000-0004-0000-0300-00002D040000}"/>
    <hyperlink ref="S922" r:id="rId1071" xr:uid="{00000000-0004-0000-0300-00002E040000}"/>
    <hyperlink ref="G923" r:id="rId1072" xr:uid="{00000000-0004-0000-0300-00002F040000}"/>
    <hyperlink ref="S923" r:id="rId1073" xr:uid="{00000000-0004-0000-0300-000030040000}"/>
    <hyperlink ref="F924" r:id="rId1074" xr:uid="{00000000-0004-0000-0300-000031040000}"/>
    <hyperlink ref="G926" r:id="rId1075" xr:uid="{00000000-0004-0000-0300-000032040000}"/>
    <hyperlink ref="S927" r:id="rId1076" xr:uid="{00000000-0004-0000-0300-000033040000}"/>
    <hyperlink ref="G928" r:id="rId1077" xr:uid="{00000000-0004-0000-0300-000034040000}"/>
    <hyperlink ref="G929" r:id="rId1078" xr:uid="{00000000-0004-0000-0300-000035040000}"/>
    <hyperlink ref="S929" r:id="rId1079" xr:uid="{00000000-0004-0000-0300-000036040000}"/>
    <hyperlink ref="G930" r:id="rId1080" xr:uid="{00000000-0004-0000-0300-000037040000}"/>
    <hyperlink ref="S930" r:id="rId1081" xr:uid="{00000000-0004-0000-0300-000038040000}"/>
    <hyperlink ref="G931" r:id="rId1082" xr:uid="{00000000-0004-0000-0300-000039040000}"/>
    <hyperlink ref="S932" r:id="rId1083" xr:uid="{00000000-0004-0000-0300-00003A040000}"/>
    <hyperlink ref="G933" r:id="rId1084" xr:uid="{00000000-0004-0000-0300-00003B040000}"/>
    <hyperlink ref="F934" r:id="rId1085" xr:uid="{00000000-0004-0000-0300-00003C040000}"/>
    <hyperlink ref="S935" r:id="rId1086" xr:uid="{00000000-0004-0000-0300-00003D040000}"/>
    <hyperlink ref="F936" r:id="rId1087" xr:uid="{00000000-0004-0000-0300-00003E040000}"/>
    <hyperlink ref="G937" r:id="rId1088" xr:uid="{00000000-0004-0000-0300-00003F040000}"/>
    <hyperlink ref="F938" r:id="rId1089" xr:uid="{00000000-0004-0000-0300-000040040000}"/>
    <hyperlink ref="S938" r:id="rId1090" xr:uid="{00000000-0004-0000-0300-000041040000}"/>
    <hyperlink ref="G939" r:id="rId1091" xr:uid="{00000000-0004-0000-0300-000042040000}"/>
    <hyperlink ref="F940" r:id="rId1092" xr:uid="{00000000-0004-0000-0300-000043040000}"/>
    <hyperlink ref="F941" r:id="rId1093" xr:uid="{00000000-0004-0000-0300-000044040000}"/>
    <hyperlink ref="G941" r:id="rId1094" xr:uid="{00000000-0004-0000-0300-000045040000}"/>
    <hyperlink ref="S942" r:id="rId1095" xr:uid="{00000000-0004-0000-0300-000046040000}"/>
    <hyperlink ref="G943" r:id="rId1096" xr:uid="{00000000-0004-0000-0300-000047040000}"/>
    <hyperlink ref="S943" r:id="rId1097" xr:uid="{00000000-0004-0000-0300-000048040000}"/>
    <hyperlink ref="G944" r:id="rId1098" xr:uid="{00000000-0004-0000-0300-000049040000}"/>
    <hyperlink ref="F945" r:id="rId1099" xr:uid="{00000000-0004-0000-0300-00004A040000}"/>
    <hyperlink ref="S945" r:id="rId1100" xr:uid="{00000000-0004-0000-0300-00004B040000}"/>
    <hyperlink ref="G946" r:id="rId1101" xr:uid="{00000000-0004-0000-0300-00004C040000}"/>
    <hyperlink ref="S946" r:id="rId1102" xr:uid="{00000000-0004-0000-0300-00004D040000}"/>
    <hyperlink ref="G947" r:id="rId1103" xr:uid="{00000000-0004-0000-0300-00004E040000}"/>
    <hyperlink ref="S947" r:id="rId1104" xr:uid="{00000000-0004-0000-0300-00004F040000}"/>
    <hyperlink ref="F948" r:id="rId1105" xr:uid="{00000000-0004-0000-0300-000050040000}"/>
    <hyperlink ref="F949" r:id="rId1106" xr:uid="{00000000-0004-0000-0300-000051040000}"/>
    <hyperlink ref="G949" r:id="rId1107" xr:uid="{00000000-0004-0000-0300-000052040000}"/>
    <hyperlink ref="S950" r:id="rId1108" xr:uid="{00000000-0004-0000-0300-000053040000}"/>
    <hyperlink ref="F951" r:id="rId1109" xr:uid="{00000000-0004-0000-0300-000054040000}"/>
    <hyperlink ref="F952" r:id="rId1110" xr:uid="{00000000-0004-0000-0300-000055040000}"/>
    <hyperlink ref="G952" r:id="rId1111" xr:uid="{00000000-0004-0000-0300-000056040000}"/>
    <hyperlink ref="F953" r:id="rId1112" xr:uid="{00000000-0004-0000-0300-000057040000}"/>
    <hyperlink ref="F954" r:id="rId1113" xr:uid="{00000000-0004-0000-0300-000058040000}"/>
    <hyperlink ref="G954" r:id="rId1114" xr:uid="{00000000-0004-0000-0300-000059040000}"/>
    <hyperlink ref="G955" r:id="rId1115" xr:uid="{00000000-0004-0000-0300-00005A040000}"/>
    <hyperlink ref="S955" r:id="rId1116" xr:uid="{00000000-0004-0000-0300-00005B040000}"/>
    <hyperlink ref="F956" r:id="rId1117" xr:uid="{00000000-0004-0000-0300-00005C040000}"/>
    <hyperlink ref="G956" r:id="rId1118" xr:uid="{00000000-0004-0000-0300-00005D040000}"/>
    <hyperlink ref="S956" r:id="rId1119" xr:uid="{00000000-0004-0000-0300-00005E040000}"/>
    <hyperlink ref="F957" r:id="rId1120" xr:uid="{00000000-0004-0000-0300-00005F040000}"/>
    <hyperlink ref="G957" r:id="rId1121" xr:uid="{00000000-0004-0000-0300-000060040000}"/>
    <hyperlink ref="F959" r:id="rId1122" xr:uid="{00000000-0004-0000-0300-000061040000}"/>
    <hyperlink ref="G959" r:id="rId1123" xr:uid="{00000000-0004-0000-0300-000062040000}"/>
    <hyperlink ref="G960" r:id="rId1124" xr:uid="{00000000-0004-0000-0300-000063040000}"/>
    <hyperlink ref="S960" r:id="rId1125" xr:uid="{00000000-0004-0000-0300-000064040000}"/>
    <hyperlink ref="G961" r:id="rId1126" xr:uid="{00000000-0004-0000-0300-000065040000}"/>
    <hyperlink ref="G962" r:id="rId1127" xr:uid="{00000000-0004-0000-0300-000066040000}"/>
    <hyperlink ref="S962" r:id="rId1128" xr:uid="{00000000-0004-0000-0300-000067040000}"/>
    <hyperlink ref="S963" r:id="rId1129" xr:uid="{00000000-0004-0000-0300-000068040000}"/>
    <hyperlink ref="F965" r:id="rId1130" xr:uid="{00000000-0004-0000-0300-000069040000}"/>
    <hyperlink ref="G966" r:id="rId1131" xr:uid="{00000000-0004-0000-0300-00006A040000}"/>
    <hyperlink ref="F967" r:id="rId1132" xr:uid="{00000000-0004-0000-0300-00006B040000}"/>
    <hyperlink ref="G968" r:id="rId1133" xr:uid="{00000000-0004-0000-0300-00006C040000}"/>
    <hyperlink ref="F969" r:id="rId1134" xr:uid="{00000000-0004-0000-0300-00006D040000}"/>
    <hyperlink ref="G970" r:id="rId1135" xr:uid="{00000000-0004-0000-0300-00006E040000}"/>
    <hyperlink ref="F971" r:id="rId1136" xr:uid="{00000000-0004-0000-0300-00006F040000}"/>
    <hyperlink ref="G971" r:id="rId1137" xr:uid="{00000000-0004-0000-0300-000070040000}"/>
    <hyperlink ref="S971" r:id="rId1138" xr:uid="{00000000-0004-0000-0300-000071040000}"/>
    <hyperlink ref="S972" r:id="rId1139" xr:uid="{00000000-0004-0000-0300-000072040000}"/>
    <hyperlink ref="F973" r:id="rId1140" xr:uid="{00000000-0004-0000-0300-000073040000}"/>
    <hyperlink ref="S973" r:id="rId1141" xr:uid="{00000000-0004-0000-0300-000074040000}"/>
    <hyperlink ref="F976" r:id="rId1142" xr:uid="{00000000-0004-0000-0300-000075040000}"/>
    <hyperlink ref="S976" r:id="rId1143" xr:uid="{00000000-0004-0000-0300-000076040000}"/>
    <hyperlink ref="F977" r:id="rId1144" xr:uid="{00000000-0004-0000-0300-000077040000}"/>
    <hyperlink ref="F979" r:id="rId1145" xr:uid="{00000000-0004-0000-0300-000078040000}"/>
    <hyperlink ref="F980" r:id="rId1146" xr:uid="{00000000-0004-0000-0300-000079040000}"/>
    <hyperlink ref="G981" r:id="rId1147" xr:uid="{00000000-0004-0000-0300-00007A040000}"/>
    <hyperlink ref="F982" r:id="rId1148" xr:uid="{00000000-0004-0000-0300-00007B040000}"/>
    <hyperlink ref="S982" r:id="rId1149" xr:uid="{00000000-0004-0000-0300-00007C040000}"/>
    <hyperlink ref="G983" r:id="rId1150" xr:uid="{00000000-0004-0000-0300-00007D040000}"/>
    <hyperlink ref="F984" r:id="rId1151" xr:uid="{00000000-0004-0000-0300-00007E040000}"/>
    <hyperlink ref="F985" r:id="rId1152" xr:uid="{00000000-0004-0000-0300-00007F040000}"/>
    <hyperlink ref="G985" r:id="rId1153" xr:uid="{00000000-0004-0000-0300-000080040000}"/>
    <hyperlink ref="S985" r:id="rId1154" xr:uid="{00000000-0004-0000-0300-000081040000}"/>
    <hyperlink ref="G986" r:id="rId1155" xr:uid="{00000000-0004-0000-0300-000082040000}"/>
    <hyperlink ref="S986" r:id="rId1156" xr:uid="{00000000-0004-0000-0300-000083040000}"/>
    <hyperlink ref="G987" r:id="rId1157" xr:uid="{00000000-0004-0000-0300-000084040000}"/>
    <hyperlink ref="G988" r:id="rId1158" xr:uid="{00000000-0004-0000-0300-000085040000}"/>
    <hyperlink ref="S988" r:id="rId1159" xr:uid="{00000000-0004-0000-0300-000086040000}"/>
    <hyperlink ref="G989" r:id="rId1160" xr:uid="{00000000-0004-0000-0300-000087040000}"/>
    <hyperlink ref="F990" r:id="rId1161" xr:uid="{00000000-0004-0000-0300-000088040000}"/>
    <hyperlink ref="G991" r:id="rId1162" xr:uid="{00000000-0004-0000-0300-000089040000}"/>
    <hyperlink ref="S991" r:id="rId1163" xr:uid="{00000000-0004-0000-0300-00008A040000}"/>
    <hyperlink ref="G992" r:id="rId1164" xr:uid="{00000000-0004-0000-0300-00008B040000}"/>
    <hyperlink ref="F994" r:id="rId1165" xr:uid="{00000000-0004-0000-0300-00008C040000}"/>
    <hyperlink ref="S994" r:id="rId1166" xr:uid="{00000000-0004-0000-0300-00008D040000}"/>
    <hyperlink ref="F995" r:id="rId1167" xr:uid="{00000000-0004-0000-0300-00008E040000}"/>
    <hyperlink ref="G995" r:id="rId1168" xr:uid="{00000000-0004-0000-0300-00008F040000}"/>
    <hyperlink ref="S995" r:id="rId1169" xr:uid="{00000000-0004-0000-0300-000090040000}"/>
    <hyperlink ref="G996" r:id="rId1170" xr:uid="{00000000-0004-0000-0300-000091040000}"/>
    <hyperlink ref="G997" r:id="rId1171" xr:uid="{00000000-0004-0000-0300-000092040000}"/>
    <hyperlink ref="G999" r:id="rId1172" xr:uid="{00000000-0004-0000-0300-000093040000}"/>
    <hyperlink ref="G1000" r:id="rId1173" xr:uid="{00000000-0004-0000-0300-000094040000}"/>
    <hyperlink ref="F1002" r:id="rId1174" xr:uid="{00000000-0004-0000-0300-000095040000}"/>
    <hyperlink ref="S1002" r:id="rId1175" xr:uid="{00000000-0004-0000-0300-000096040000}"/>
    <hyperlink ref="G1006" r:id="rId1176" xr:uid="{00000000-0004-0000-0300-000097040000}"/>
    <hyperlink ref="S1006" r:id="rId1177" xr:uid="{00000000-0004-0000-0300-000098040000}"/>
    <hyperlink ref="G1007" r:id="rId1178" xr:uid="{00000000-0004-0000-0300-000099040000}"/>
    <hyperlink ref="S1007" r:id="rId1179" xr:uid="{00000000-0004-0000-0300-00009A040000}"/>
    <hyperlink ref="F1009" r:id="rId1180" xr:uid="{00000000-0004-0000-0300-00009B040000}"/>
    <hyperlink ref="G1009" r:id="rId1181" xr:uid="{00000000-0004-0000-0300-00009C040000}"/>
    <hyperlink ref="S1009" r:id="rId1182" xr:uid="{00000000-0004-0000-0300-00009D040000}"/>
    <hyperlink ref="S1010" r:id="rId1183" xr:uid="{00000000-0004-0000-0300-00009E040000}"/>
    <hyperlink ref="F1012" r:id="rId1184" xr:uid="{00000000-0004-0000-0300-00009F040000}"/>
    <hyperlink ref="S1012" r:id="rId1185" xr:uid="{00000000-0004-0000-0300-0000A0040000}"/>
    <hyperlink ref="F1014" r:id="rId1186" xr:uid="{00000000-0004-0000-0300-0000A1040000}"/>
    <hyperlink ref="S1015" r:id="rId1187" xr:uid="{00000000-0004-0000-0300-0000A2040000}"/>
    <hyperlink ref="F1016" r:id="rId1188" xr:uid="{00000000-0004-0000-0300-0000A3040000}"/>
    <hyperlink ref="F1017" r:id="rId1189" xr:uid="{00000000-0004-0000-0300-0000A4040000}"/>
    <hyperlink ref="G1019" r:id="rId1190" xr:uid="{00000000-0004-0000-0300-0000A5040000}"/>
    <hyperlink ref="F1020" r:id="rId1191" xr:uid="{00000000-0004-0000-0300-0000A6040000}"/>
    <hyperlink ref="G1021" r:id="rId1192" xr:uid="{00000000-0004-0000-0300-0000A7040000}"/>
    <hyperlink ref="G1022" r:id="rId1193" xr:uid="{00000000-0004-0000-0300-0000A8040000}"/>
    <hyperlink ref="S1022" r:id="rId1194" xr:uid="{00000000-0004-0000-0300-0000A9040000}"/>
    <hyperlink ref="F1023" r:id="rId1195" xr:uid="{00000000-0004-0000-0300-0000AA040000}"/>
    <hyperlink ref="S1023" r:id="rId1196" xr:uid="{00000000-0004-0000-0300-0000AB040000}"/>
    <hyperlink ref="F1025" r:id="rId1197" xr:uid="{00000000-0004-0000-0300-0000AC040000}"/>
    <hyperlink ref="G1026" r:id="rId1198" xr:uid="{00000000-0004-0000-0300-0000AD040000}"/>
    <hyperlink ref="S1028" r:id="rId1199" xr:uid="{00000000-0004-0000-0300-0000AE040000}"/>
    <hyperlink ref="S1029" r:id="rId1200" xr:uid="{00000000-0004-0000-0300-0000AF040000}"/>
    <hyperlink ref="F1030" r:id="rId1201" xr:uid="{00000000-0004-0000-0300-0000B0040000}"/>
    <hyperlink ref="F1031" r:id="rId1202" xr:uid="{00000000-0004-0000-0300-0000B1040000}"/>
    <hyperlink ref="S1031" r:id="rId1203" xr:uid="{00000000-0004-0000-0300-0000B2040000}"/>
    <hyperlink ref="S1032" r:id="rId1204" xr:uid="{00000000-0004-0000-0300-0000B3040000}"/>
    <hyperlink ref="F1034" r:id="rId1205" xr:uid="{00000000-0004-0000-0300-0000B4040000}"/>
    <hyperlink ref="S1034" r:id="rId1206" xr:uid="{00000000-0004-0000-0300-0000B5040000}"/>
    <hyperlink ref="F1035" r:id="rId1207" xr:uid="{00000000-0004-0000-0300-0000B6040000}"/>
    <hyperlink ref="G1036" r:id="rId1208" xr:uid="{00000000-0004-0000-0300-0000B7040000}"/>
    <hyperlink ref="F1037" r:id="rId1209" xr:uid="{00000000-0004-0000-0300-0000B8040000}"/>
    <hyperlink ref="G1038" r:id="rId1210" xr:uid="{00000000-0004-0000-0300-0000B9040000}"/>
    <hyperlink ref="S1038" r:id="rId1211" xr:uid="{00000000-0004-0000-0300-0000BA040000}"/>
    <hyperlink ref="F1039" r:id="rId1212" xr:uid="{00000000-0004-0000-0300-0000BB040000}"/>
    <hyperlink ref="F1040" r:id="rId1213" xr:uid="{00000000-0004-0000-0300-0000BC040000}"/>
    <hyperlink ref="S1040" r:id="rId1214" xr:uid="{00000000-0004-0000-0300-0000BD040000}"/>
    <hyperlink ref="S1041" r:id="rId1215" xr:uid="{00000000-0004-0000-0300-0000BE040000}"/>
    <hyperlink ref="F1042" r:id="rId1216" xr:uid="{00000000-0004-0000-0300-0000BF040000}"/>
    <hyperlink ref="G1042" r:id="rId1217" xr:uid="{00000000-0004-0000-0300-0000C0040000}"/>
    <hyperlink ref="S1043" r:id="rId1218" xr:uid="{00000000-0004-0000-0300-0000C1040000}"/>
    <hyperlink ref="G1044" r:id="rId1219" xr:uid="{00000000-0004-0000-0300-0000C2040000}"/>
    <hyperlink ref="S1044" r:id="rId1220" xr:uid="{00000000-0004-0000-0300-0000C3040000}"/>
    <hyperlink ref="F1045" r:id="rId1221" xr:uid="{00000000-0004-0000-0300-0000C4040000}"/>
    <hyperlink ref="F1050" r:id="rId1222" xr:uid="{00000000-0004-0000-0300-0000C5040000}"/>
    <hyperlink ref="G1050" r:id="rId1223" xr:uid="{00000000-0004-0000-0300-0000C6040000}"/>
    <hyperlink ref="G1051" r:id="rId1224" xr:uid="{00000000-0004-0000-0300-0000C7040000}"/>
    <hyperlink ref="S1051" r:id="rId1225" xr:uid="{00000000-0004-0000-0300-0000C8040000}"/>
    <hyperlink ref="F1052" r:id="rId1226" xr:uid="{00000000-0004-0000-0300-0000C9040000}"/>
    <hyperlink ref="S1052" r:id="rId1227" xr:uid="{00000000-0004-0000-0300-0000CA040000}"/>
    <hyperlink ref="F1053" r:id="rId1228" xr:uid="{00000000-0004-0000-0300-0000CB040000}"/>
    <hyperlink ref="S1053" r:id="rId1229" xr:uid="{00000000-0004-0000-0300-0000CC040000}"/>
    <hyperlink ref="S1054" r:id="rId1230" xr:uid="{00000000-0004-0000-0300-0000CD040000}"/>
    <hyperlink ref="F1055" r:id="rId1231" xr:uid="{00000000-0004-0000-0300-0000CE040000}"/>
    <hyperlink ref="G1055" r:id="rId1232" xr:uid="{00000000-0004-0000-0300-0000CF040000}"/>
    <hyperlink ref="F1057" r:id="rId1233" xr:uid="{00000000-0004-0000-0300-0000D0040000}"/>
    <hyperlink ref="S1057" r:id="rId1234" xr:uid="{00000000-0004-0000-0300-0000D1040000}"/>
    <hyperlink ref="F1058" r:id="rId1235" xr:uid="{00000000-0004-0000-0300-0000D2040000}"/>
    <hyperlink ref="S1058" r:id="rId1236" xr:uid="{00000000-0004-0000-0300-0000D3040000}"/>
    <hyperlink ref="S1059" r:id="rId1237" xr:uid="{00000000-0004-0000-0300-0000D4040000}"/>
    <hyperlink ref="F1060" r:id="rId1238" xr:uid="{00000000-0004-0000-0300-0000D5040000}"/>
    <hyperlink ref="G1060" r:id="rId1239" xr:uid="{00000000-0004-0000-0300-0000D6040000}"/>
    <hyperlink ref="S1060" r:id="rId1240" xr:uid="{00000000-0004-0000-0300-0000D7040000}"/>
    <hyperlink ref="F1061" r:id="rId1241" xr:uid="{00000000-0004-0000-0300-0000D8040000}"/>
    <hyperlink ref="G1062" r:id="rId1242" xr:uid="{00000000-0004-0000-0300-0000D9040000}"/>
    <hyperlink ref="G1063" r:id="rId1243" xr:uid="{00000000-0004-0000-0300-0000DA040000}"/>
    <hyperlink ref="G1064" r:id="rId1244" xr:uid="{00000000-0004-0000-0300-0000DB040000}"/>
    <hyperlink ref="S1064" r:id="rId1245" xr:uid="{00000000-0004-0000-0300-0000DC040000}"/>
    <hyperlink ref="F1065" r:id="rId1246" xr:uid="{00000000-0004-0000-0300-0000DD040000}"/>
    <hyperlink ref="S1066" r:id="rId1247" xr:uid="{00000000-0004-0000-0300-0000DE040000}"/>
    <hyperlink ref="S1067" r:id="rId1248" xr:uid="{00000000-0004-0000-0300-0000DF040000}"/>
    <hyperlink ref="F1068" r:id="rId1249" location=".W-4fUfLrCz4.twitter" xr:uid="{00000000-0004-0000-0300-0000E0040000}"/>
    <hyperlink ref="F1069" r:id="rId1250" location=".W-4fH7S0UNw.twitter" xr:uid="{00000000-0004-0000-0300-0000E1040000}"/>
    <hyperlink ref="F1070" r:id="rId1251" xr:uid="{00000000-0004-0000-0300-0000E2040000}"/>
    <hyperlink ref="G1071" r:id="rId1252" xr:uid="{00000000-0004-0000-0300-0000E3040000}"/>
    <hyperlink ref="S1071" r:id="rId1253" xr:uid="{00000000-0004-0000-0300-0000E4040000}"/>
    <hyperlink ref="F1072" r:id="rId1254" xr:uid="{00000000-0004-0000-0300-0000E5040000}"/>
    <hyperlink ref="F1073" r:id="rId1255" xr:uid="{00000000-0004-0000-0300-0000E6040000}"/>
    <hyperlink ref="G1073" r:id="rId1256" xr:uid="{00000000-0004-0000-0300-0000E7040000}"/>
    <hyperlink ref="S1073" r:id="rId1257" xr:uid="{00000000-0004-0000-0300-0000E8040000}"/>
    <hyperlink ref="S1074" r:id="rId1258" xr:uid="{00000000-0004-0000-0300-0000E9040000}"/>
    <hyperlink ref="G1076" r:id="rId1259" xr:uid="{00000000-0004-0000-0300-0000EA040000}"/>
    <hyperlink ref="S1076" r:id="rId1260" xr:uid="{00000000-0004-0000-0300-0000EB040000}"/>
    <hyperlink ref="F1078" r:id="rId1261" xr:uid="{00000000-0004-0000-0300-0000EC040000}"/>
    <hyperlink ref="G1078" r:id="rId1262" xr:uid="{00000000-0004-0000-0300-0000ED040000}"/>
    <hyperlink ref="S1078" r:id="rId1263" xr:uid="{00000000-0004-0000-0300-0000EE040000}"/>
    <hyperlink ref="F1079" r:id="rId1264" xr:uid="{00000000-0004-0000-0300-0000EF040000}"/>
    <hyperlink ref="F1080" r:id="rId1265" xr:uid="{00000000-0004-0000-0300-0000F0040000}"/>
    <hyperlink ref="G1081" r:id="rId1266" xr:uid="{00000000-0004-0000-0300-0000F1040000}"/>
    <hyperlink ref="G1082" r:id="rId1267" xr:uid="{00000000-0004-0000-0300-0000F2040000}"/>
    <hyperlink ref="F1083" r:id="rId1268" xr:uid="{00000000-0004-0000-0300-0000F3040000}"/>
    <hyperlink ref="G1083" r:id="rId1269" xr:uid="{00000000-0004-0000-0300-0000F4040000}"/>
    <hyperlink ref="F1085" r:id="rId1270" xr:uid="{00000000-0004-0000-0300-0000F5040000}"/>
    <hyperlink ref="G1085" r:id="rId1271" xr:uid="{00000000-0004-0000-0300-0000F6040000}"/>
    <hyperlink ref="S1086" r:id="rId1272" xr:uid="{00000000-0004-0000-0300-0000F7040000}"/>
    <hyperlink ref="F1087" r:id="rId1273" xr:uid="{00000000-0004-0000-0300-0000F8040000}"/>
    <hyperlink ref="G1087" r:id="rId1274" xr:uid="{00000000-0004-0000-0300-0000F9040000}"/>
    <hyperlink ref="S1088" r:id="rId1275" xr:uid="{00000000-0004-0000-0300-0000FA040000}"/>
    <hyperlink ref="F1091" r:id="rId1276" xr:uid="{00000000-0004-0000-0300-0000FB040000}"/>
    <hyperlink ref="F1092" r:id="rId1277" xr:uid="{00000000-0004-0000-0300-0000FC040000}"/>
    <hyperlink ref="G1092" r:id="rId1278" xr:uid="{00000000-0004-0000-0300-0000FD040000}"/>
    <hyperlink ref="S1093" r:id="rId1279" xr:uid="{00000000-0004-0000-0300-0000FE040000}"/>
    <hyperlink ref="F1095" r:id="rId1280" xr:uid="{00000000-0004-0000-0300-0000FF040000}"/>
    <hyperlink ref="F1096" r:id="rId1281" xr:uid="{00000000-0004-0000-0300-000000050000}"/>
    <hyperlink ref="F1097" r:id="rId1282" xr:uid="{00000000-0004-0000-0300-000001050000}"/>
    <hyperlink ref="S1097" r:id="rId1283" xr:uid="{00000000-0004-0000-0300-000002050000}"/>
    <hyperlink ref="F1098" r:id="rId1284" xr:uid="{00000000-0004-0000-0300-000003050000}"/>
    <hyperlink ref="S1098" r:id="rId1285" xr:uid="{00000000-0004-0000-0300-000004050000}"/>
    <hyperlink ref="S1099" r:id="rId1286" xr:uid="{00000000-0004-0000-0300-000005050000}"/>
    <hyperlink ref="F1101" r:id="rId1287" xr:uid="{00000000-0004-0000-0300-000006050000}"/>
    <hyperlink ref="G1101" r:id="rId1288" xr:uid="{00000000-0004-0000-0300-000007050000}"/>
    <hyperlink ref="G1102" r:id="rId1289" xr:uid="{00000000-0004-0000-0300-000008050000}"/>
    <hyperlink ref="F1103" r:id="rId1290" xr:uid="{00000000-0004-0000-0300-000009050000}"/>
    <hyperlink ref="G1104" r:id="rId1291" xr:uid="{00000000-0004-0000-0300-00000A050000}"/>
    <hyperlink ref="S1104" r:id="rId1292" xr:uid="{00000000-0004-0000-0300-00000B050000}"/>
    <hyperlink ref="F1105" r:id="rId1293" xr:uid="{00000000-0004-0000-0300-00000C050000}"/>
    <hyperlink ref="G1105" r:id="rId1294" xr:uid="{00000000-0004-0000-0300-00000D050000}"/>
    <hyperlink ref="F1106" r:id="rId1295" xr:uid="{00000000-0004-0000-0300-00000E050000}"/>
    <hyperlink ref="S1106" r:id="rId1296" xr:uid="{00000000-0004-0000-0300-00000F050000}"/>
    <hyperlink ref="F1107" r:id="rId1297" xr:uid="{00000000-0004-0000-0300-000010050000}"/>
    <hyperlink ref="F1108" r:id="rId1298" xr:uid="{00000000-0004-0000-0300-000011050000}"/>
    <hyperlink ref="G1110" r:id="rId1299" xr:uid="{00000000-0004-0000-0300-000012050000}"/>
    <hyperlink ref="S1110" r:id="rId1300" xr:uid="{00000000-0004-0000-0300-000013050000}"/>
    <hyperlink ref="G1111" r:id="rId1301" xr:uid="{00000000-0004-0000-0300-000014050000}"/>
    <hyperlink ref="F1112" r:id="rId1302" xr:uid="{00000000-0004-0000-0300-000015050000}"/>
    <hyperlink ref="G1112" r:id="rId1303" xr:uid="{00000000-0004-0000-0300-000016050000}"/>
    <hyperlink ref="S1112" r:id="rId1304" xr:uid="{00000000-0004-0000-0300-000017050000}"/>
    <hyperlink ref="S1113" r:id="rId1305" xr:uid="{00000000-0004-0000-0300-000018050000}"/>
    <hyperlink ref="F1114" r:id="rId1306" xr:uid="{00000000-0004-0000-0300-000019050000}"/>
    <hyperlink ref="F1115" r:id="rId1307" xr:uid="{00000000-0004-0000-0300-00001A050000}"/>
    <hyperlink ref="G1115" r:id="rId1308" xr:uid="{00000000-0004-0000-0300-00001B050000}"/>
    <hyperlink ref="S1115" r:id="rId1309" xr:uid="{00000000-0004-0000-0300-00001C050000}"/>
    <hyperlink ref="F1116" r:id="rId1310" xr:uid="{00000000-0004-0000-0300-00001D050000}"/>
    <hyperlink ref="G1116" r:id="rId1311" xr:uid="{00000000-0004-0000-0300-00001E050000}"/>
    <hyperlink ref="F1117" r:id="rId1312" xr:uid="{00000000-0004-0000-0300-00001F050000}"/>
    <hyperlink ref="S1118" r:id="rId1313" xr:uid="{00000000-0004-0000-0300-000020050000}"/>
    <hyperlink ref="F1119" r:id="rId1314" xr:uid="{00000000-0004-0000-0300-000021050000}"/>
    <hyperlink ref="F1120" r:id="rId1315" xr:uid="{00000000-0004-0000-0300-000022050000}"/>
    <hyperlink ref="F1121" r:id="rId1316" xr:uid="{00000000-0004-0000-0300-000023050000}"/>
    <hyperlink ref="F1123" r:id="rId1317" xr:uid="{00000000-0004-0000-0300-000024050000}"/>
    <hyperlink ref="S1123" r:id="rId1318" xr:uid="{00000000-0004-0000-0300-000025050000}"/>
    <hyperlink ref="F1124" r:id="rId1319" xr:uid="{00000000-0004-0000-0300-000026050000}"/>
    <hyperlink ref="G1125" r:id="rId1320" xr:uid="{00000000-0004-0000-0300-000027050000}"/>
    <hyperlink ref="G1126" r:id="rId1321" xr:uid="{00000000-0004-0000-0300-000028050000}"/>
    <hyperlink ref="F1127" r:id="rId1322" xr:uid="{00000000-0004-0000-0300-000029050000}"/>
    <hyperlink ref="S1127" r:id="rId1323" xr:uid="{00000000-0004-0000-0300-00002A050000}"/>
    <hyperlink ref="F1128" r:id="rId1324" xr:uid="{00000000-0004-0000-0300-00002B050000}"/>
    <hyperlink ref="G1128" r:id="rId1325" xr:uid="{00000000-0004-0000-0300-00002C050000}"/>
    <hyperlink ref="S1128" r:id="rId1326" xr:uid="{00000000-0004-0000-0300-00002D050000}"/>
    <hyperlink ref="F1129" r:id="rId1327" xr:uid="{00000000-0004-0000-0300-00002E050000}"/>
    <hyperlink ref="F1131" r:id="rId1328" xr:uid="{00000000-0004-0000-0300-00002F050000}"/>
    <hyperlink ref="F1132" r:id="rId1329" xr:uid="{00000000-0004-0000-0300-000030050000}"/>
    <hyperlink ref="G1133" r:id="rId1330" xr:uid="{00000000-0004-0000-0300-000031050000}"/>
    <hyperlink ref="S1134" r:id="rId1331" xr:uid="{00000000-0004-0000-0300-000032050000}"/>
    <hyperlink ref="F1136" r:id="rId1332" xr:uid="{00000000-0004-0000-0300-000033050000}"/>
    <hyperlink ref="G1136" r:id="rId1333" xr:uid="{00000000-0004-0000-0300-000034050000}"/>
    <hyperlink ref="F1138" r:id="rId1334" xr:uid="{00000000-0004-0000-0300-000035050000}"/>
    <hyperlink ref="F1139" r:id="rId1335" xr:uid="{00000000-0004-0000-0300-000036050000}"/>
    <hyperlink ref="G1140" r:id="rId1336" xr:uid="{00000000-0004-0000-0300-000037050000}"/>
    <hyperlink ref="S1141" r:id="rId1337" xr:uid="{00000000-0004-0000-0300-000038050000}"/>
    <hyperlink ref="F1142" r:id="rId1338" xr:uid="{00000000-0004-0000-0300-000039050000}"/>
    <hyperlink ref="G1143" r:id="rId1339" xr:uid="{00000000-0004-0000-0300-00003A050000}"/>
    <hyperlink ref="S1143" r:id="rId1340" xr:uid="{00000000-0004-0000-0300-00003B050000}"/>
    <hyperlink ref="G1144" r:id="rId1341" xr:uid="{00000000-0004-0000-0300-00003C050000}"/>
    <hyperlink ref="F1146" r:id="rId1342" xr:uid="{00000000-0004-0000-0300-00003D050000}"/>
    <hyperlink ref="F1150" r:id="rId1343" xr:uid="{00000000-0004-0000-0300-00003E050000}"/>
    <hyperlink ref="S1151" r:id="rId1344" xr:uid="{00000000-0004-0000-0300-00003F050000}"/>
    <hyperlink ref="G1152" r:id="rId1345" xr:uid="{00000000-0004-0000-0300-000040050000}"/>
    <hyperlink ref="S1152" r:id="rId1346" xr:uid="{00000000-0004-0000-0300-000041050000}"/>
    <hyperlink ref="F1154" r:id="rId1347" xr:uid="{00000000-0004-0000-0300-000042050000}"/>
    <hyperlink ref="F1155" r:id="rId1348" xr:uid="{00000000-0004-0000-0300-000043050000}"/>
    <hyperlink ref="G1156" r:id="rId1349" xr:uid="{00000000-0004-0000-0300-000044050000}"/>
    <hyperlink ref="F1157" r:id="rId1350" xr:uid="{00000000-0004-0000-0300-000045050000}"/>
    <hyperlink ref="G1157" r:id="rId1351" xr:uid="{00000000-0004-0000-0300-000046050000}"/>
    <hyperlink ref="S1157" r:id="rId1352" xr:uid="{00000000-0004-0000-0300-000047050000}"/>
    <hyperlink ref="F1158" r:id="rId1353" xr:uid="{00000000-0004-0000-0300-000048050000}"/>
    <hyperlink ref="G1158" r:id="rId1354" xr:uid="{00000000-0004-0000-0300-000049050000}"/>
    <hyperlink ref="S1158" r:id="rId1355" xr:uid="{00000000-0004-0000-0300-00004A050000}"/>
    <hyperlink ref="F1159" r:id="rId1356" xr:uid="{00000000-0004-0000-0300-00004B050000}"/>
    <hyperlink ref="G1159" r:id="rId1357" xr:uid="{00000000-0004-0000-0300-00004C050000}"/>
    <hyperlink ref="S1159" r:id="rId1358" xr:uid="{00000000-0004-0000-0300-00004D050000}"/>
    <hyperlink ref="S1160" r:id="rId1359" xr:uid="{00000000-0004-0000-0300-00004E050000}"/>
    <hyperlink ref="F1161" r:id="rId1360" location=".W-3CTOWksQA.twitter" xr:uid="{00000000-0004-0000-0300-00004F050000}"/>
    <hyperlink ref="F1162" r:id="rId1361" xr:uid="{00000000-0004-0000-0300-000050050000}"/>
    <hyperlink ref="S1162" r:id="rId1362" xr:uid="{00000000-0004-0000-0300-000051050000}"/>
    <hyperlink ref="S1163" r:id="rId1363" xr:uid="{00000000-0004-0000-0300-000052050000}"/>
    <hyperlink ref="G1164" r:id="rId1364" xr:uid="{00000000-0004-0000-0300-000053050000}"/>
    <hyperlink ref="S1164" r:id="rId1365" xr:uid="{00000000-0004-0000-0300-000054050000}"/>
    <hyperlink ref="G1166" r:id="rId1366" xr:uid="{00000000-0004-0000-0300-000055050000}"/>
    <hyperlink ref="F1167" r:id="rId1367" xr:uid="{00000000-0004-0000-0300-000056050000}"/>
    <hyperlink ref="F1168" r:id="rId1368" xr:uid="{00000000-0004-0000-0300-000057050000}"/>
    <hyperlink ref="F1169" r:id="rId1369" xr:uid="{00000000-0004-0000-0300-000058050000}"/>
    <hyperlink ref="G1169" r:id="rId1370" xr:uid="{00000000-0004-0000-0300-000059050000}"/>
    <hyperlink ref="G1170" r:id="rId1371" xr:uid="{00000000-0004-0000-0300-00005A050000}"/>
    <hyperlink ref="G1171" r:id="rId1372" xr:uid="{00000000-0004-0000-0300-00005B050000}"/>
    <hyperlink ref="F1172" r:id="rId1373" xr:uid="{00000000-0004-0000-0300-00005C050000}"/>
    <hyperlink ref="F1173" r:id="rId1374" xr:uid="{00000000-0004-0000-0300-00005D050000}"/>
    <hyperlink ref="F1174" r:id="rId1375" xr:uid="{00000000-0004-0000-0300-00005E050000}"/>
    <hyperlink ref="F1175" r:id="rId1376" xr:uid="{00000000-0004-0000-0300-00005F050000}"/>
    <hyperlink ref="S1175" r:id="rId1377" xr:uid="{00000000-0004-0000-0300-000060050000}"/>
    <hyperlink ref="F1176" r:id="rId1378" xr:uid="{00000000-0004-0000-0300-000061050000}"/>
    <hyperlink ref="F1177" r:id="rId1379" xr:uid="{00000000-0004-0000-0300-000062050000}"/>
    <hyperlink ref="F1178" r:id="rId1380" xr:uid="{00000000-0004-0000-0300-000063050000}"/>
    <hyperlink ref="G1178" r:id="rId1381" xr:uid="{00000000-0004-0000-0300-000064050000}"/>
    <hyperlink ref="S1178" r:id="rId1382" xr:uid="{00000000-0004-0000-0300-000065050000}"/>
    <hyperlink ref="F1179" r:id="rId1383" location=".W-20ucT1zXU.twitter" xr:uid="{00000000-0004-0000-0300-000066050000}"/>
    <hyperlink ref="S1179" r:id="rId1384" xr:uid="{00000000-0004-0000-0300-000067050000}"/>
    <hyperlink ref="S1180" r:id="rId1385" xr:uid="{00000000-0004-0000-0300-000068050000}"/>
    <hyperlink ref="G1181" r:id="rId1386" xr:uid="{00000000-0004-0000-0300-000069050000}"/>
    <hyperlink ref="F1182" r:id="rId1387" xr:uid="{00000000-0004-0000-0300-00006A050000}"/>
    <hyperlink ref="G1182" r:id="rId1388" xr:uid="{00000000-0004-0000-0300-00006B050000}"/>
    <hyperlink ref="S1182" r:id="rId1389" xr:uid="{00000000-0004-0000-0300-00006C050000}"/>
    <hyperlink ref="F1184" r:id="rId1390" xr:uid="{00000000-0004-0000-0300-00006D050000}"/>
    <hyperlink ref="G1184" r:id="rId1391" xr:uid="{00000000-0004-0000-0300-00006E050000}"/>
    <hyperlink ref="F1185" r:id="rId1392" xr:uid="{00000000-0004-0000-0300-00006F050000}"/>
    <hyperlink ref="F1186" r:id="rId1393" xr:uid="{00000000-0004-0000-0300-000070050000}"/>
    <hyperlink ref="S1186" r:id="rId1394" xr:uid="{00000000-0004-0000-0300-000071050000}"/>
    <hyperlink ref="F1187" r:id="rId1395" xr:uid="{00000000-0004-0000-0300-000072050000}"/>
    <hyperlink ref="S1187" r:id="rId1396" xr:uid="{00000000-0004-0000-0300-000073050000}"/>
    <hyperlink ref="F1189" r:id="rId1397" xr:uid="{00000000-0004-0000-0300-000074050000}"/>
    <hyperlink ref="G1190" r:id="rId1398" xr:uid="{00000000-0004-0000-0300-000075050000}"/>
    <hyperlink ref="F1191" r:id="rId1399" xr:uid="{00000000-0004-0000-0300-000076050000}"/>
    <hyperlink ref="G1191" r:id="rId1400" xr:uid="{00000000-0004-0000-0300-000077050000}"/>
    <hyperlink ref="F1192" r:id="rId1401" xr:uid="{00000000-0004-0000-0300-000078050000}"/>
    <hyperlink ref="F1193" r:id="rId1402" xr:uid="{00000000-0004-0000-0300-000079050000}"/>
    <hyperlink ref="S1193" r:id="rId1403" xr:uid="{00000000-0004-0000-0300-00007A050000}"/>
    <hyperlink ref="F1194" r:id="rId1404" xr:uid="{00000000-0004-0000-0300-00007B050000}"/>
    <hyperlink ref="S1194" r:id="rId1405" xr:uid="{00000000-0004-0000-0300-00007C050000}"/>
    <hyperlink ref="F1195" r:id="rId1406" xr:uid="{00000000-0004-0000-0300-00007D050000}"/>
    <hyperlink ref="G1195" r:id="rId1407" xr:uid="{00000000-0004-0000-0300-00007E050000}"/>
    <hyperlink ref="S1196" r:id="rId1408" xr:uid="{00000000-0004-0000-0300-00007F050000}"/>
    <hyperlink ref="G1198" r:id="rId1409" xr:uid="{00000000-0004-0000-0300-000080050000}"/>
    <hyperlink ref="F1199" r:id="rId1410" xr:uid="{00000000-0004-0000-0300-000081050000}"/>
    <hyperlink ref="S1199" r:id="rId1411" xr:uid="{00000000-0004-0000-0300-000082050000}"/>
    <hyperlink ref="G1201" r:id="rId1412" xr:uid="{00000000-0004-0000-0300-000083050000}"/>
    <hyperlink ref="G1202" r:id="rId1413" xr:uid="{00000000-0004-0000-0300-000084050000}"/>
    <hyperlink ref="S1202" r:id="rId1414" xr:uid="{00000000-0004-0000-0300-000085050000}"/>
    <hyperlink ref="F1203" r:id="rId1415" xr:uid="{00000000-0004-0000-0300-000086050000}"/>
    <hyperlink ref="G1203" r:id="rId1416" xr:uid="{00000000-0004-0000-0300-000087050000}"/>
    <hyperlink ref="F1204" r:id="rId1417" xr:uid="{00000000-0004-0000-0300-000088050000}"/>
    <hyperlink ref="F1206" r:id="rId1418" xr:uid="{00000000-0004-0000-0300-000089050000}"/>
    <hyperlink ref="S1207" r:id="rId1419" xr:uid="{00000000-0004-0000-0300-00008A050000}"/>
    <hyperlink ref="S1208" r:id="rId1420" xr:uid="{00000000-0004-0000-0300-00008B050000}"/>
    <hyperlink ref="F1209" r:id="rId1421" xr:uid="{00000000-0004-0000-0300-00008C050000}"/>
    <hyperlink ref="F1210" r:id="rId1422" xr:uid="{00000000-0004-0000-0300-00008D050000}"/>
    <hyperlink ref="F1211" r:id="rId1423" xr:uid="{00000000-0004-0000-0300-00008E050000}"/>
    <hyperlink ref="G1211" r:id="rId1424" xr:uid="{00000000-0004-0000-0300-00008F050000}"/>
    <hyperlink ref="F1212" r:id="rId1425" xr:uid="{00000000-0004-0000-0300-000090050000}"/>
    <hyperlink ref="G1212" r:id="rId1426" xr:uid="{00000000-0004-0000-0300-000091050000}"/>
    <hyperlink ref="G1215" r:id="rId1427" xr:uid="{00000000-0004-0000-0300-000092050000}"/>
    <hyperlink ref="S1215" r:id="rId1428" xr:uid="{00000000-0004-0000-0300-000093050000}"/>
    <hyperlink ref="G1216" r:id="rId1429" xr:uid="{00000000-0004-0000-0300-000094050000}"/>
    <hyperlink ref="F1217" r:id="rId1430" xr:uid="{00000000-0004-0000-0300-000095050000}"/>
    <hyperlink ref="G1217" r:id="rId1431" xr:uid="{00000000-0004-0000-0300-000096050000}"/>
    <hyperlink ref="S1218" r:id="rId1432" xr:uid="{00000000-0004-0000-0300-000097050000}"/>
    <hyperlink ref="F1220" r:id="rId1433" xr:uid="{00000000-0004-0000-0300-000098050000}"/>
    <hyperlink ref="G1220" r:id="rId1434" xr:uid="{00000000-0004-0000-0300-000099050000}"/>
    <hyperlink ref="S1220" r:id="rId1435" xr:uid="{00000000-0004-0000-0300-00009A050000}"/>
    <hyperlink ref="F1221" r:id="rId1436" xr:uid="{00000000-0004-0000-0300-00009B050000}"/>
    <hyperlink ref="G1221" r:id="rId1437" xr:uid="{00000000-0004-0000-0300-00009C050000}"/>
    <hyperlink ref="S1222" r:id="rId1438" xr:uid="{00000000-0004-0000-0300-00009D050000}"/>
    <hyperlink ref="F1223" r:id="rId1439" xr:uid="{00000000-0004-0000-0300-00009E050000}"/>
    <hyperlink ref="S1223" r:id="rId1440" xr:uid="{00000000-0004-0000-0300-00009F050000}"/>
    <hyperlink ref="F1224" r:id="rId1441" xr:uid="{00000000-0004-0000-0300-0000A0050000}"/>
    <hyperlink ref="S1224" r:id="rId1442" xr:uid="{00000000-0004-0000-0300-0000A1050000}"/>
    <hyperlink ref="F1226" r:id="rId1443" xr:uid="{00000000-0004-0000-0300-0000A2050000}"/>
    <hyperlink ref="G1226" r:id="rId1444" xr:uid="{00000000-0004-0000-0300-0000A3050000}"/>
    <hyperlink ref="F1228" r:id="rId1445" xr:uid="{00000000-0004-0000-0300-0000A4050000}"/>
    <hyperlink ref="S1228" r:id="rId1446" xr:uid="{00000000-0004-0000-0300-0000A5050000}"/>
    <hyperlink ref="G1229" r:id="rId1447" xr:uid="{00000000-0004-0000-0300-0000A6050000}"/>
    <hyperlink ref="G1230" r:id="rId1448" xr:uid="{00000000-0004-0000-0300-0000A7050000}"/>
    <hyperlink ref="F1231" r:id="rId1449" xr:uid="{00000000-0004-0000-0300-0000A8050000}"/>
    <hyperlink ref="S1231" r:id="rId1450" xr:uid="{00000000-0004-0000-0300-0000A9050000}"/>
    <hyperlink ref="F1232" r:id="rId1451" xr:uid="{00000000-0004-0000-0300-0000AA050000}"/>
    <hyperlink ref="G1232" r:id="rId1452" xr:uid="{00000000-0004-0000-0300-0000AB050000}"/>
    <hyperlink ref="S1232" r:id="rId1453" xr:uid="{00000000-0004-0000-0300-0000AC050000}"/>
    <hyperlink ref="F1234" r:id="rId1454" xr:uid="{00000000-0004-0000-0300-0000AD050000}"/>
    <hyperlink ref="G1234" r:id="rId1455" xr:uid="{00000000-0004-0000-0300-0000AE050000}"/>
    <hyperlink ref="S1234" r:id="rId1456" xr:uid="{00000000-0004-0000-0300-0000AF050000}"/>
    <hyperlink ref="F1235" r:id="rId1457" xr:uid="{00000000-0004-0000-0300-0000B0050000}"/>
    <hyperlink ref="G1235" r:id="rId1458" xr:uid="{00000000-0004-0000-0300-0000B1050000}"/>
    <hyperlink ref="G1236" r:id="rId1459" xr:uid="{00000000-0004-0000-0300-0000B2050000}"/>
    <hyperlink ref="F1237" r:id="rId1460" xr:uid="{00000000-0004-0000-0300-0000B3050000}"/>
    <hyperlink ref="G1237" r:id="rId1461" xr:uid="{00000000-0004-0000-0300-0000B4050000}"/>
    <hyperlink ref="G1239" r:id="rId1462" xr:uid="{00000000-0004-0000-0300-0000B5050000}"/>
    <hyperlink ref="S1239" r:id="rId1463" xr:uid="{00000000-0004-0000-0300-0000B6050000}"/>
    <hyperlink ref="F1240" r:id="rId1464" xr:uid="{00000000-0004-0000-0300-0000B7050000}"/>
    <hyperlink ref="S1241" r:id="rId1465" xr:uid="{00000000-0004-0000-0300-0000B8050000}"/>
    <hyperlink ref="G1242" r:id="rId1466" xr:uid="{00000000-0004-0000-0300-0000B9050000}"/>
    <hyperlink ref="S1242" r:id="rId1467" xr:uid="{00000000-0004-0000-0300-0000BA050000}"/>
    <hyperlink ref="F1243" r:id="rId1468" xr:uid="{00000000-0004-0000-0300-0000BB050000}"/>
    <hyperlink ref="G1243" r:id="rId1469" xr:uid="{00000000-0004-0000-0300-0000BC050000}"/>
    <hyperlink ref="S1243" r:id="rId1470" xr:uid="{00000000-0004-0000-0300-0000BD050000}"/>
    <hyperlink ref="S1244" r:id="rId1471" xr:uid="{00000000-0004-0000-0300-0000BE050000}"/>
    <hyperlink ref="G1245" r:id="rId1472" xr:uid="{00000000-0004-0000-0300-0000BF050000}"/>
    <hyperlink ref="G1246" r:id="rId1473" xr:uid="{00000000-0004-0000-0300-0000C0050000}"/>
    <hyperlink ref="F1248" r:id="rId1474" xr:uid="{00000000-0004-0000-0300-0000C1050000}"/>
    <hyperlink ref="G1249" r:id="rId1475" xr:uid="{00000000-0004-0000-0300-0000C2050000}"/>
    <hyperlink ref="S1249" r:id="rId1476" xr:uid="{00000000-0004-0000-0300-0000C3050000}"/>
    <hyperlink ref="S1250" r:id="rId1477" xr:uid="{00000000-0004-0000-0300-0000C4050000}"/>
    <hyperlink ref="G1252" r:id="rId1478" xr:uid="{00000000-0004-0000-0300-0000C5050000}"/>
    <hyperlink ref="S1252" r:id="rId1479" xr:uid="{00000000-0004-0000-0300-0000C6050000}"/>
    <hyperlink ref="F1253" r:id="rId1480" xr:uid="{00000000-0004-0000-0300-0000C7050000}"/>
    <hyperlink ref="S1253" r:id="rId1481" xr:uid="{00000000-0004-0000-0300-0000C8050000}"/>
    <hyperlink ref="S1254" r:id="rId1482" xr:uid="{00000000-0004-0000-0300-0000C9050000}"/>
    <hyperlink ref="F1256" r:id="rId1483" xr:uid="{00000000-0004-0000-0300-0000CA050000}"/>
    <hyperlink ref="F1257" r:id="rId1484" xr:uid="{00000000-0004-0000-0300-0000CB050000}"/>
    <hyperlink ref="G1258" r:id="rId1485" xr:uid="{00000000-0004-0000-0300-0000CC050000}"/>
    <hyperlink ref="F1259" r:id="rId1486" xr:uid="{00000000-0004-0000-0300-0000CD050000}"/>
    <hyperlink ref="G1261" r:id="rId1487" xr:uid="{00000000-0004-0000-0300-0000CE050000}"/>
    <hyperlink ref="G1262" r:id="rId1488" xr:uid="{00000000-0004-0000-0300-0000CF050000}"/>
    <hyperlink ref="S1262" r:id="rId1489" xr:uid="{00000000-0004-0000-0300-0000D0050000}"/>
    <hyperlink ref="F1263" r:id="rId1490" xr:uid="{00000000-0004-0000-0300-0000D1050000}"/>
    <hyperlink ref="G1263" r:id="rId1491" xr:uid="{00000000-0004-0000-0300-0000D2050000}"/>
    <hyperlink ref="S1263" r:id="rId1492" xr:uid="{00000000-0004-0000-0300-0000D3050000}"/>
    <hyperlink ref="F1264" r:id="rId1493" xr:uid="{00000000-0004-0000-0300-0000D4050000}"/>
    <hyperlink ref="G1264" r:id="rId1494" xr:uid="{00000000-0004-0000-0300-0000D5050000}"/>
    <hyperlink ref="F1265" r:id="rId1495" xr:uid="{00000000-0004-0000-0300-0000D6050000}"/>
    <hyperlink ref="F1266" r:id="rId1496" xr:uid="{00000000-0004-0000-0300-0000D7050000}"/>
    <hyperlink ref="S1268" r:id="rId1497" xr:uid="{00000000-0004-0000-0300-0000D8050000}"/>
    <hyperlink ref="F1269" r:id="rId1498" xr:uid="{00000000-0004-0000-0300-0000D9050000}"/>
    <hyperlink ref="S1269" r:id="rId1499" xr:uid="{00000000-0004-0000-0300-0000DA050000}"/>
    <hyperlink ref="F1270" r:id="rId1500" xr:uid="{00000000-0004-0000-0300-0000DB050000}"/>
    <hyperlink ref="S1272" r:id="rId1501" xr:uid="{00000000-0004-0000-0300-0000DC050000}"/>
    <hyperlink ref="S1273" r:id="rId1502" xr:uid="{00000000-0004-0000-0300-0000DD050000}"/>
    <hyperlink ref="G1274" r:id="rId1503" xr:uid="{00000000-0004-0000-0300-0000DE050000}"/>
    <hyperlink ref="S1274" r:id="rId1504" xr:uid="{00000000-0004-0000-0300-0000DF050000}"/>
    <hyperlink ref="G1276" r:id="rId1505" xr:uid="{00000000-0004-0000-0300-0000E0050000}"/>
    <hyperlink ref="F1277" r:id="rId1506" location="Echobox=1542275203" xr:uid="{00000000-0004-0000-0300-0000E1050000}"/>
    <hyperlink ref="F1278" r:id="rId1507" xr:uid="{00000000-0004-0000-0300-0000E2050000}"/>
    <hyperlink ref="S1278" r:id="rId1508" xr:uid="{00000000-0004-0000-0300-0000E3050000}"/>
    <hyperlink ref="G1279" r:id="rId1509" xr:uid="{00000000-0004-0000-0300-0000E4050000}"/>
    <hyperlink ref="F1281" r:id="rId1510" xr:uid="{00000000-0004-0000-0300-0000E5050000}"/>
    <hyperlink ref="S1281" r:id="rId1511" xr:uid="{00000000-0004-0000-0300-0000E6050000}"/>
    <hyperlink ref="S1282" r:id="rId1512" xr:uid="{00000000-0004-0000-0300-0000E7050000}"/>
    <hyperlink ref="G1284" r:id="rId1513" xr:uid="{00000000-0004-0000-0300-0000E8050000}"/>
    <hyperlink ref="S1284" r:id="rId1514" xr:uid="{00000000-0004-0000-0300-0000E9050000}"/>
    <hyperlink ref="S1285" r:id="rId1515" xr:uid="{00000000-0004-0000-0300-0000EA050000}"/>
    <hyperlink ref="G1287" r:id="rId1516" xr:uid="{00000000-0004-0000-0300-0000EB050000}"/>
    <hyperlink ref="G1288" r:id="rId1517" xr:uid="{00000000-0004-0000-0300-0000EC050000}"/>
    <hyperlink ref="F1289" r:id="rId1518" xr:uid="{00000000-0004-0000-0300-0000ED050000}"/>
    <hyperlink ref="G1289" r:id="rId1519" xr:uid="{00000000-0004-0000-0300-0000EE050000}"/>
    <hyperlink ref="G1290" r:id="rId1520" xr:uid="{00000000-0004-0000-0300-0000EF050000}"/>
    <hyperlink ref="S1291" r:id="rId1521" xr:uid="{00000000-0004-0000-0300-0000F0050000}"/>
    <hyperlink ref="F1292" r:id="rId1522" xr:uid="{00000000-0004-0000-0300-0000F1050000}"/>
    <hyperlink ref="G1293" r:id="rId1523" xr:uid="{00000000-0004-0000-0300-0000F2050000}"/>
    <hyperlink ref="F1294" r:id="rId1524" xr:uid="{00000000-0004-0000-0300-0000F3050000}"/>
    <hyperlink ref="S1296" r:id="rId1525" xr:uid="{00000000-0004-0000-0300-0000F4050000}"/>
    <hyperlink ref="G1297" r:id="rId1526" xr:uid="{00000000-0004-0000-0300-0000F5050000}"/>
    <hyperlink ref="S1300" r:id="rId1527" xr:uid="{00000000-0004-0000-0300-0000F6050000}"/>
    <hyperlink ref="S1301" r:id="rId1528" xr:uid="{00000000-0004-0000-0300-0000F7050000}"/>
    <hyperlink ref="G1302" r:id="rId1529" xr:uid="{00000000-0004-0000-0300-0000F8050000}"/>
    <hyperlink ref="G1303" r:id="rId1530" xr:uid="{00000000-0004-0000-0300-0000F9050000}"/>
    <hyperlink ref="F1304" r:id="rId1531" xr:uid="{00000000-0004-0000-0300-0000FA050000}"/>
    <hyperlink ref="G1305" r:id="rId1532" xr:uid="{00000000-0004-0000-0300-0000FB050000}"/>
    <hyperlink ref="S1306" r:id="rId1533" xr:uid="{00000000-0004-0000-0300-0000FC050000}"/>
    <hyperlink ref="S1311" r:id="rId1534" xr:uid="{00000000-0004-0000-0300-0000FD050000}"/>
    <hyperlink ref="S1312" r:id="rId1535" xr:uid="{00000000-0004-0000-0300-0000FE050000}"/>
    <hyperlink ref="S1313" r:id="rId1536" xr:uid="{00000000-0004-0000-0300-0000FF050000}"/>
    <hyperlink ref="S1314" r:id="rId1537" xr:uid="{00000000-0004-0000-0300-000000060000}"/>
    <hyperlink ref="F1316" r:id="rId1538" xr:uid="{00000000-0004-0000-0300-000001060000}"/>
    <hyperlink ref="S1316" r:id="rId1539" xr:uid="{00000000-0004-0000-0300-000002060000}"/>
    <hyperlink ref="F1317" r:id="rId1540" xr:uid="{00000000-0004-0000-0300-000003060000}"/>
    <hyperlink ref="S1317" r:id="rId1541" xr:uid="{00000000-0004-0000-0300-000004060000}"/>
    <hyperlink ref="F1318" r:id="rId1542" xr:uid="{00000000-0004-0000-0300-000005060000}"/>
    <hyperlink ref="F1319" r:id="rId1543" xr:uid="{00000000-0004-0000-0300-000006060000}"/>
    <hyperlink ref="S1319" r:id="rId1544" xr:uid="{00000000-0004-0000-0300-000007060000}"/>
    <hyperlink ref="F1320" r:id="rId1545" xr:uid="{00000000-0004-0000-0300-000008060000}"/>
    <hyperlink ref="S1321" r:id="rId1546" xr:uid="{00000000-0004-0000-0300-000009060000}"/>
    <hyperlink ref="S1322" r:id="rId1547" xr:uid="{00000000-0004-0000-0300-00000A060000}"/>
    <hyperlink ref="F1324" r:id="rId1548" xr:uid="{00000000-0004-0000-0300-00000B060000}"/>
    <hyperlink ref="S1324" r:id="rId1549" xr:uid="{00000000-0004-0000-0300-00000C060000}"/>
    <hyperlink ref="G1325" r:id="rId1550" xr:uid="{00000000-0004-0000-0300-00000D060000}"/>
    <hyperlink ref="S1325" r:id="rId1551" xr:uid="{00000000-0004-0000-0300-00000E060000}"/>
    <hyperlink ref="F1326" r:id="rId1552" xr:uid="{00000000-0004-0000-0300-00000F060000}"/>
    <hyperlink ref="F1327" r:id="rId1553" xr:uid="{00000000-0004-0000-0300-000010060000}"/>
    <hyperlink ref="S1327" r:id="rId1554" xr:uid="{00000000-0004-0000-0300-000011060000}"/>
    <hyperlink ref="S1330" r:id="rId1555" xr:uid="{00000000-0004-0000-0300-000012060000}"/>
    <hyperlink ref="G1331" r:id="rId1556" xr:uid="{00000000-0004-0000-0300-000013060000}"/>
    <hyperlink ref="S1331" r:id="rId1557" xr:uid="{00000000-0004-0000-0300-000014060000}"/>
    <hyperlink ref="F1333" r:id="rId1558" xr:uid="{00000000-0004-0000-0300-000015060000}"/>
    <hyperlink ref="G1333" r:id="rId1559" xr:uid="{00000000-0004-0000-0300-000016060000}"/>
    <hyperlink ref="F1334" r:id="rId1560" xr:uid="{00000000-0004-0000-0300-000017060000}"/>
    <hyperlink ref="F1335" r:id="rId1561" xr:uid="{00000000-0004-0000-0300-000018060000}"/>
    <hyperlink ref="F1337" r:id="rId1562" xr:uid="{00000000-0004-0000-0300-000019060000}"/>
    <hyperlink ref="G1337" r:id="rId1563" xr:uid="{00000000-0004-0000-0300-00001A060000}"/>
    <hyperlink ref="S1339" r:id="rId1564" xr:uid="{00000000-0004-0000-0300-00001B060000}"/>
    <hyperlink ref="F1341" r:id="rId1565" xr:uid="{00000000-0004-0000-0300-00001C060000}"/>
    <hyperlink ref="G1341" r:id="rId1566" xr:uid="{00000000-0004-0000-0300-00001D060000}"/>
    <hyperlink ref="S1342" r:id="rId1567" xr:uid="{00000000-0004-0000-0300-00001E060000}"/>
    <hyperlink ref="S1343" r:id="rId1568" xr:uid="{00000000-0004-0000-0300-00001F060000}"/>
    <hyperlink ref="S1344" r:id="rId1569" xr:uid="{00000000-0004-0000-0300-000020060000}"/>
    <hyperlink ref="S1345" r:id="rId1570" xr:uid="{00000000-0004-0000-0300-000021060000}"/>
    <hyperlink ref="S1347" r:id="rId1571" xr:uid="{00000000-0004-0000-0300-000022060000}"/>
    <hyperlink ref="S1348" r:id="rId1572" xr:uid="{00000000-0004-0000-0300-000023060000}"/>
    <hyperlink ref="F1351" r:id="rId1573" xr:uid="{00000000-0004-0000-0300-000024060000}"/>
    <hyperlink ref="G1351" r:id="rId1574" xr:uid="{00000000-0004-0000-0300-000025060000}"/>
    <hyperlink ref="S1351" r:id="rId1575" xr:uid="{00000000-0004-0000-0300-000026060000}"/>
    <hyperlink ref="F1352" r:id="rId1576" xr:uid="{00000000-0004-0000-0300-000027060000}"/>
    <hyperlink ref="G1352" r:id="rId1577" xr:uid="{00000000-0004-0000-0300-000028060000}"/>
    <hyperlink ref="F1353" r:id="rId1578" xr:uid="{00000000-0004-0000-0300-000029060000}"/>
    <hyperlink ref="G1353" r:id="rId1579" xr:uid="{00000000-0004-0000-0300-00002A060000}"/>
    <hyperlink ref="S1353" r:id="rId1580" xr:uid="{00000000-0004-0000-0300-00002B060000}"/>
    <hyperlink ref="S1356" r:id="rId1581" xr:uid="{00000000-0004-0000-0300-00002C060000}"/>
    <hyperlink ref="F1357" r:id="rId1582" xr:uid="{00000000-0004-0000-0300-00002D060000}"/>
    <hyperlink ref="F1359" r:id="rId1583" xr:uid="{00000000-0004-0000-0300-00002E060000}"/>
    <hyperlink ref="G1359" r:id="rId1584" xr:uid="{00000000-0004-0000-0300-00002F060000}"/>
    <hyperlink ref="F1361" r:id="rId1585" xr:uid="{00000000-0004-0000-0300-000030060000}"/>
    <hyperlink ref="F1362" r:id="rId1586" xr:uid="{00000000-0004-0000-0300-000031060000}"/>
    <hyperlink ref="G1362" r:id="rId1587" xr:uid="{00000000-0004-0000-0300-000032060000}"/>
    <hyperlink ref="S1365" r:id="rId1588" xr:uid="{00000000-0004-0000-0300-000033060000}"/>
    <hyperlink ref="S1366" r:id="rId1589" xr:uid="{00000000-0004-0000-0300-000034060000}"/>
    <hyperlink ref="F1367" r:id="rId1590" xr:uid="{00000000-0004-0000-0300-000035060000}"/>
    <hyperlink ref="S1367" r:id="rId1591" xr:uid="{00000000-0004-0000-0300-000036060000}"/>
    <hyperlink ref="F1368" r:id="rId1592" xr:uid="{00000000-0004-0000-0300-000037060000}"/>
    <hyperlink ref="G1368" r:id="rId1593" xr:uid="{00000000-0004-0000-0300-000038060000}"/>
    <hyperlink ref="S1368" r:id="rId1594" xr:uid="{00000000-0004-0000-0300-000039060000}"/>
    <hyperlink ref="F1369" r:id="rId1595" xr:uid="{00000000-0004-0000-0300-00003A060000}"/>
    <hyperlink ref="G1369" r:id="rId1596" xr:uid="{00000000-0004-0000-0300-00003B060000}"/>
    <hyperlink ref="S1370" r:id="rId1597" xr:uid="{00000000-0004-0000-0300-00003C060000}"/>
    <hyperlink ref="F1371" r:id="rId1598" xr:uid="{00000000-0004-0000-0300-00003D060000}"/>
    <hyperlink ref="S1371" r:id="rId1599" xr:uid="{00000000-0004-0000-0300-00003E060000}"/>
    <hyperlink ref="F1372" r:id="rId1600" xr:uid="{00000000-0004-0000-0300-00003F060000}"/>
    <hyperlink ref="G1372" r:id="rId1601" xr:uid="{00000000-0004-0000-0300-000040060000}"/>
    <hyperlink ref="S1372" r:id="rId1602" xr:uid="{00000000-0004-0000-0300-000041060000}"/>
    <hyperlink ref="F1373" r:id="rId1603" xr:uid="{00000000-0004-0000-0300-000042060000}"/>
    <hyperlink ref="G1373" r:id="rId1604" xr:uid="{00000000-0004-0000-0300-000043060000}"/>
    <hyperlink ref="S1373" r:id="rId1605" xr:uid="{00000000-0004-0000-0300-000044060000}"/>
    <hyperlink ref="G1374" r:id="rId1606" xr:uid="{00000000-0004-0000-0300-000045060000}"/>
    <hyperlink ref="S1375" r:id="rId1607" xr:uid="{00000000-0004-0000-0300-000046060000}"/>
    <hyperlink ref="F1376" r:id="rId1608" xr:uid="{00000000-0004-0000-0300-000047060000}"/>
    <hyperlink ref="G1376" r:id="rId1609" xr:uid="{00000000-0004-0000-0300-000048060000}"/>
    <hyperlink ref="S1377" r:id="rId1610" xr:uid="{00000000-0004-0000-0300-000049060000}"/>
    <hyperlink ref="F1379" r:id="rId1611" xr:uid="{00000000-0004-0000-0300-00004A060000}"/>
    <hyperlink ref="G1379" r:id="rId1612" xr:uid="{00000000-0004-0000-0300-00004B060000}"/>
    <hyperlink ref="S1379" r:id="rId1613" xr:uid="{00000000-0004-0000-0300-00004C060000}"/>
    <hyperlink ref="G1382" r:id="rId1614" xr:uid="{00000000-0004-0000-0300-00004D060000}"/>
    <hyperlink ref="S1385" r:id="rId1615" xr:uid="{00000000-0004-0000-0300-00004E060000}"/>
    <hyperlink ref="F1387" r:id="rId1616" xr:uid="{00000000-0004-0000-0300-00004F060000}"/>
    <hyperlink ref="G1387" r:id="rId1617" xr:uid="{00000000-0004-0000-0300-000050060000}"/>
    <hyperlink ref="G1388" r:id="rId1618" xr:uid="{00000000-0004-0000-0300-000051060000}"/>
    <hyperlink ref="S1388" r:id="rId1619" xr:uid="{00000000-0004-0000-0300-000052060000}"/>
    <hyperlink ref="F1390" r:id="rId1620" xr:uid="{00000000-0004-0000-0300-000053060000}"/>
    <hyperlink ref="F1391" r:id="rId1621" xr:uid="{00000000-0004-0000-0300-000054060000}"/>
    <hyperlink ref="S1391" r:id="rId1622" xr:uid="{00000000-0004-0000-0300-000055060000}"/>
    <hyperlink ref="S1393" r:id="rId1623" xr:uid="{00000000-0004-0000-0300-000056060000}"/>
    <hyperlink ref="S1397" r:id="rId1624" xr:uid="{00000000-0004-0000-0300-000057060000}"/>
    <hyperlink ref="S1398" r:id="rId1625" xr:uid="{00000000-0004-0000-0300-000058060000}"/>
    <hyperlink ref="S1399" r:id="rId1626" xr:uid="{00000000-0004-0000-0300-000059060000}"/>
    <hyperlink ref="F1400" r:id="rId1627" xr:uid="{00000000-0004-0000-0300-00005A060000}"/>
    <hyperlink ref="G1400" r:id="rId1628" xr:uid="{00000000-0004-0000-0300-00005B060000}"/>
    <hyperlink ref="F1403" r:id="rId1629" xr:uid="{00000000-0004-0000-0300-00005C060000}"/>
    <hyperlink ref="G1403" r:id="rId1630" xr:uid="{00000000-0004-0000-0300-00005D060000}"/>
    <hyperlink ref="F1404" r:id="rId1631" xr:uid="{00000000-0004-0000-0300-00005E060000}"/>
    <hyperlink ref="G1404" r:id="rId1632" xr:uid="{00000000-0004-0000-0300-00005F060000}"/>
    <hyperlink ref="F1406" r:id="rId1633" xr:uid="{00000000-0004-0000-0300-000060060000}"/>
    <hyperlink ref="S1406" r:id="rId1634" xr:uid="{00000000-0004-0000-0300-000061060000}"/>
    <hyperlink ref="F1407" r:id="rId1635" xr:uid="{00000000-0004-0000-0300-000062060000}"/>
    <hyperlink ref="G1407" r:id="rId1636" xr:uid="{00000000-0004-0000-0300-000063060000}"/>
    <hyperlink ref="F1408" r:id="rId1637" xr:uid="{00000000-0004-0000-0300-000064060000}"/>
    <hyperlink ref="G1408" r:id="rId1638" xr:uid="{00000000-0004-0000-0300-000065060000}"/>
    <hyperlink ref="F1409" r:id="rId1639" xr:uid="{00000000-0004-0000-0300-000066060000}"/>
    <hyperlink ref="G1409" r:id="rId1640" xr:uid="{00000000-0004-0000-0300-000067060000}"/>
    <hyperlink ref="S1409" r:id="rId1641" xr:uid="{00000000-0004-0000-0300-000068060000}"/>
    <hyperlink ref="G1410" r:id="rId1642" xr:uid="{00000000-0004-0000-0300-000069060000}"/>
    <hyperlink ref="S1410" r:id="rId1643" xr:uid="{00000000-0004-0000-0300-00006A060000}"/>
    <hyperlink ref="F1411" r:id="rId1644" xr:uid="{00000000-0004-0000-0300-00006B060000}"/>
    <hyperlink ref="G1411" r:id="rId1645" xr:uid="{00000000-0004-0000-0300-00006C060000}"/>
    <hyperlink ref="G1412" r:id="rId1646" xr:uid="{00000000-0004-0000-0300-00006D060000}"/>
    <hyperlink ref="S1412" r:id="rId1647" xr:uid="{00000000-0004-0000-0300-00006E060000}"/>
    <hyperlink ref="F1414" r:id="rId1648" xr:uid="{00000000-0004-0000-0300-00006F060000}"/>
    <hyperlink ref="G1414" r:id="rId1649" xr:uid="{00000000-0004-0000-0300-000070060000}"/>
    <hyperlink ref="S1415" r:id="rId1650" xr:uid="{00000000-0004-0000-0300-000071060000}"/>
    <hyperlink ref="F1416" r:id="rId1651" xr:uid="{00000000-0004-0000-0300-000072060000}"/>
    <hyperlink ref="S1416" r:id="rId1652" xr:uid="{00000000-0004-0000-0300-000073060000}"/>
    <hyperlink ref="S1417" r:id="rId1653" xr:uid="{00000000-0004-0000-0300-000074060000}"/>
    <hyperlink ref="F1418" r:id="rId1654" xr:uid="{00000000-0004-0000-0300-000075060000}"/>
    <hyperlink ref="S1418" r:id="rId1655" xr:uid="{00000000-0004-0000-0300-000076060000}"/>
    <hyperlink ref="G1419" r:id="rId1656" xr:uid="{00000000-0004-0000-0300-000077060000}"/>
    <hyperlink ref="S1419" r:id="rId1657" xr:uid="{00000000-0004-0000-0300-000078060000}"/>
    <hyperlink ref="F1420" r:id="rId1658" xr:uid="{00000000-0004-0000-0300-000079060000}"/>
    <hyperlink ref="G1421" r:id="rId1659" xr:uid="{00000000-0004-0000-0300-00007A060000}"/>
    <hyperlink ref="S1421" r:id="rId1660" xr:uid="{00000000-0004-0000-0300-00007B060000}"/>
    <hyperlink ref="G1422" r:id="rId1661" xr:uid="{00000000-0004-0000-0300-00007C060000}"/>
    <hyperlink ref="G1423" r:id="rId1662" xr:uid="{00000000-0004-0000-0300-00007D060000}"/>
    <hyperlink ref="S1423" r:id="rId1663" xr:uid="{00000000-0004-0000-0300-00007E060000}"/>
    <hyperlink ref="F1424" r:id="rId1664" xr:uid="{00000000-0004-0000-0300-00007F060000}"/>
    <hyperlink ref="S1424" r:id="rId1665" xr:uid="{00000000-0004-0000-0300-000080060000}"/>
    <hyperlink ref="G1425" r:id="rId1666" xr:uid="{00000000-0004-0000-0300-000081060000}"/>
    <hyperlink ref="S1426" r:id="rId1667" xr:uid="{00000000-0004-0000-0300-000082060000}"/>
    <hyperlink ref="F1428" r:id="rId1668" xr:uid="{00000000-0004-0000-0300-000083060000}"/>
    <hyperlink ref="G1428" r:id="rId1669" xr:uid="{00000000-0004-0000-0300-000084060000}"/>
    <hyperlink ref="F1429" r:id="rId1670" xr:uid="{00000000-0004-0000-0300-000085060000}"/>
    <hyperlink ref="G1429" r:id="rId1671" xr:uid="{00000000-0004-0000-0300-000086060000}"/>
    <hyperlink ref="F1430" r:id="rId1672" xr:uid="{00000000-0004-0000-0300-000087060000}"/>
    <hyperlink ref="G1430" r:id="rId1673" xr:uid="{00000000-0004-0000-0300-000088060000}"/>
    <hyperlink ref="G1431" r:id="rId1674" xr:uid="{00000000-0004-0000-0300-000089060000}"/>
    <hyperlink ref="F1432" r:id="rId1675" xr:uid="{00000000-0004-0000-0300-00008A060000}"/>
    <hyperlink ref="G1433" r:id="rId1676" xr:uid="{00000000-0004-0000-0300-00008B060000}"/>
    <hyperlink ref="S1433" r:id="rId1677" xr:uid="{00000000-0004-0000-0300-00008C060000}"/>
    <hyperlink ref="F1435" r:id="rId1678" xr:uid="{00000000-0004-0000-0300-00008D060000}"/>
    <hyperlink ref="G1435" r:id="rId1679" xr:uid="{00000000-0004-0000-0300-00008E060000}"/>
    <hyperlink ref="F1436" r:id="rId1680" xr:uid="{00000000-0004-0000-0300-00008F060000}"/>
    <hyperlink ref="G1436" r:id="rId1681" xr:uid="{00000000-0004-0000-0300-000090060000}"/>
    <hyperlink ref="S1436" r:id="rId1682" xr:uid="{00000000-0004-0000-0300-000091060000}"/>
    <hyperlink ref="S1438" r:id="rId1683" xr:uid="{00000000-0004-0000-0300-000092060000}"/>
    <hyperlink ref="F1440" r:id="rId1684" xr:uid="{00000000-0004-0000-0300-000093060000}"/>
    <hyperlink ref="S1440" r:id="rId1685" xr:uid="{00000000-0004-0000-0300-000094060000}"/>
    <hyperlink ref="S1441" r:id="rId1686" xr:uid="{00000000-0004-0000-0300-000095060000}"/>
    <hyperlink ref="G1442" r:id="rId1687" xr:uid="{00000000-0004-0000-0300-000096060000}"/>
    <hyperlink ref="F1445" r:id="rId1688" xr:uid="{00000000-0004-0000-0300-000097060000}"/>
    <hyperlink ref="S1445" r:id="rId1689" xr:uid="{00000000-0004-0000-0300-000098060000}"/>
    <hyperlink ref="G1447" r:id="rId1690" xr:uid="{00000000-0004-0000-0300-000099060000}"/>
    <hyperlink ref="G1448" r:id="rId1691" xr:uid="{00000000-0004-0000-0300-00009A060000}"/>
    <hyperlink ref="S1448" r:id="rId1692" xr:uid="{00000000-0004-0000-0300-00009B060000}"/>
    <hyperlink ref="G1450" r:id="rId1693" xr:uid="{00000000-0004-0000-0300-00009C060000}"/>
    <hyperlink ref="S1450" r:id="rId1694" xr:uid="{00000000-0004-0000-0300-00009D060000}"/>
    <hyperlink ref="S1451" r:id="rId1695" xr:uid="{00000000-0004-0000-0300-00009E060000}"/>
    <hyperlink ref="S1452" r:id="rId1696" xr:uid="{00000000-0004-0000-0300-00009F060000}"/>
    <hyperlink ref="G1453" r:id="rId1697" xr:uid="{00000000-0004-0000-0300-0000A0060000}"/>
    <hyperlink ref="G1454" r:id="rId1698" xr:uid="{00000000-0004-0000-0300-0000A1060000}"/>
    <hyperlink ref="S1454" r:id="rId1699" xr:uid="{00000000-0004-0000-0300-0000A2060000}"/>
    <hyperlink ref="F1456" r:id="rId1700" xr:uid="{00000000-0004-0000-0300-0000A3060000}"/>
    <hyperlink ref="F1458" r:id="rId1701" xr:uid="{00000000-0004-0000-0300-0000A4060000}"/>
    <hyperlink ref="G1458" r:id="rId1702" xr:uid="{00000000-0004-0000-0300-0000A5060000}"/>
    <hyperlink ref="G1459" r:id="rId1703" xr:uid="{00000000-0004-0000-0300-0000A6060000}"/>
    <hyperlink ref="S1459" r:id="rId1704" xr:uid="{00000000-0004-0000-0300-0000A7060000}"/>
    <hyperlink ref="F1460" r:id="rId1705" xr:uid="{00000000-0004-0000-0300-0000A8060000}"/>
    <hyperlink ref="S1460" r:id="rId1706" xr:uid="{00000000-0004-0000-0300-0000A9060000}"/>
    <hyperlink ref="G1461" r:id="rId1707" xr:uid="{00000000-0004-0000-0300-0000AA060000}"/>
    <hyperlink ref="S1461" r:id="rId1708" xr:uid="{00000000-0004-0000-0300-0000AB060000}"/>
    <hyperlink ref="G1462" r:id="rId1709" xr:uid="{00000000-0004-0000-0300-0000AC060000}"/>
    <hyperlink ref="S1462" r:id="rId1710" xr:uid="{00000000-0004-0000-0300-0000AD060000}"/>
    <hyperlink ref="G1463" r:id="rId1711" xr:uid="{00000000-0004-0000-0300-0000AE060000}"/>
    <hyperlink ref="S1463" r:id="rId1712" xr:uid="{00000000-0004-0000-0300-0000AF060000}"/>
    <hyperlink ref="F1464" r:id="rId1713" xr:uid="{00000000-0004-0000-0300-0000B0060000}"/>
    <hyperlink ref="G1465" r:id="rId1714" xr:uid="{00000000-0004-0000-0300-0000B1060000}"/>
    <hyperlink ref="G1466" r:id="rId1715" xr:uid="{00000000-0004-0000-0300-0000B2060000}"/>
    <hyperlink ref="F1468" r:id="rId1716" xr:uid="{00000000-0004-0000-0300-0000B3060000}"/>
    <hyperlink ref="G1468" r:id="rId1717" xr:uid="{00000000-0004-0000-0300-0000B4060000}"/>
    <hyperlink ref="G1469" r:id="rId1718" xr:uid="{00000000-0004-0000-0300-0000B5060000}"/>
    <hyperlink ref="S1469" r:id="rId1719" xr:uid="{00000000-0004-0000-0300-0000B6060000}"/>
    <hyperlink ref="G1470" r:id="rId1720" xr:uid="{00000000-0004-0000-0300-0000B7060000}"/>
    <hyperlink ref="F1471" r:id="rId1721" xr:uid="{00000000-0004-0000-0300-0000B8060000}"/>
    <hyperlink ref="S1471" r:id="rId1722" xr:uid="{00000000-0004-0000-0300-0000B9060000}"/>
    <hyperlink ref="S1472" r:id="rId1723" xr:uid="{00000000-0004-0000-0300-0000BA060000}"/>
    <hyperlink ref="S1474" r:id="rId1724" xr:uid="{00000000-0004-0000-0300-0000BB060000}"/>
    <hyperlink ref="G1475" r:id="rId1725" xr:uid="{00000000-0004-0000-0300-0000BC060000}"/>
    <hyperlink ref="G1476" r:id="rId1726" xr:uid="{00000000-0004-0000-0300-0000BD060000}"/>
    <hyperlink ref="G1478" r:id="rId1727" xr:uid="{00000000-0004-0000-0300-0000BE060000}"/>
    <hyperlink ref="S1478" r:id="rId1728" xr:uid="{00000000-0004-0000-0300-0000BF060000}"/>
    <hyperlink ref="G1479" r:id="rId1729" xr:uid="{00000000-0004-0000-0300-0000C0060000}"/>
    <hyperlink ref="F1480" r:id="rId1730" xr:uid="{00000000-0004-0000-0300-0000C1060000}"/>
    <hyperlink ref="F1481" r:id="rId1731" xr:uid="{00000000-0004-0000-0300-0000C2060000}"/>
    <hyperlink ref="S1481" r:id="rId1732" xr:uid="{00000000-0004-0000-0300-0000C3060000}"/>
    <hyperlink ref="F1482" r:id="rId1733" xr:uid="{00000000-0004-0000-0300-0000C4060000}"/>
    <hyperlink ref="G1483" r:id="rId1734" xr:uid="{00000000-0004-0000-0300-0000C5060000}"/>
    <hyperlink ref="S1483" r:id="rId1735" xr:uid="{00000000-0004-0000-0300-0000C6060000}"/>
    <hyperlink ref="G1484" r:id="rId1736" xr:uid="{00000000-0004-0000-0300-0000C7060000}"/>
    <hyperlink ref="F1486" r:id="rId1737" xr:uid="{00000000-0004-0000-0300-0000C8060000}"/>
    <hyperlink ref="F1487" r:id="rId1738" xr:uid="{00000000-0004-0000-0300-0000C9060000}"/>
    <hyperlink ref="G1487" r:id="rId1739" xr:uid="{00000000-0004-0000-0300-0000CA060000}"/>
    <hyperlink ref="F1488" r:id="rId1740" xr:uid="{00000000-0004-0000-0300-0000CB060000}"/>
    <hyperlink ref="G1488" r:id="rId1741" xr:uid="{00000000-0004-0000-0300-0000CC060000}"/>
    <hyperlink ref="S1488" r:id="rId1742" xr:uid="{00000000-0004-0000-0300-0000CD060000}"/>
    <hyperlink ref="G1489" r:id="rId1743" xr:uid="{00000000-0004-0000-0300-0000CE060000}"/>
    <hyperlink ref="F1490" r:id="rId1744" xr:uid="{00000000-0004-0000-0300-0000CF060000}"/>
    <hyperlink ref="S1491" r:id="rId1745" xr:uid="{00000000-0004-0000-0300-0000D0060000}"/>
    <hyperlink ref="S1492" r:id="rId1746" xr:uid="{00000000-0004-0000-0300-0000D1060000}"/>
    <hyperlink ref="G1493" r:id="rId1747" xr:uid="{00000000-0004-0000-0300-0000D2060000}"/>
    <hyperlink ref="S1493" r:id="rId1748" xr:uid="{00000000-0004-0000-0300-0000D3060000}"/>
    <hyperlink ref="G1494" r:id="rId1749" xr:uid="{00000000-0004-0000-0300-0000D4060000}"/>
    <hyperlink ref="S1494" r:id="rId1750" xr:uid="{00000000-0004-0000-0300-0000D5060000}"/>
    <hyperlink ref="G1495" r:id="rId1751" xr:uid="{00000000-0004-0000-0300-0000D6060000}"/>
    <hyperlink ref="G1496" r:id="rId1752" xr:uid="{00000000-0004-0000-0300-0000D7060000}"/>
    <hyperlink ref="G1497" r:id="rId1753" xr:uid="{00000000-0004-0000-0300-0000D8060000}"/>
    <hyperlink ref="G1500" r:id="rId1754" xr:uid="{00000000-0004-0000-0300-0000D9060000}"/>
    <hyperlink ref="S1500" r:id="rId1755" xr:uid="{00000000-0004-0000-0300-0000DA060000}"/>
    <hyperlink ref="G1501" r:id="rId1756" xr:uid="{00000000-0004-0000-0300-0000DB060000}"/>
    <hyperlink ref="G1502" r:id="rId1757" xr:uid="{00000000-0004-0000-0300-0000DC060000}"/>
    <hyperlink ref="F1503" r:id="rId1758" xr:uid="{00000000-0004-0000-0300-0000DD060000}"/>
    <hyperlink ref="S1503" r:id="rId1759" xr:uid="{00000000-0004-0000-0300-0000DE060000}"/>
    <hyperlink ref="G1504" r:id="rId1760" xr:uid="{00000000-0004-0000-0300-0000DF060000}"/>
    <hyperlink ref="S1504" r:id="rId1761" xr:uid="{00000000-0004-0000-0300-0000E0060000}"/>
    <hyperlink ref="S1505" r:id="rId1762" xr:uid="{00000000-0004-0000-0300-0000E1060000}"/>
    <hyperlink ref="S1506" r:id="rId1763" xr:uid="{00000000-0004-0000-0300-0000E2060000}"/>
    <hyperlink ref="G1507" r:id="rId1764" xr:uid="{00000000-0004-0000-0300-0000E3060000}"/>
    <hyperlink ref="S1507" r:id="rId1765" xr:uid="{00000000-0004-0000-0300-0000E4060000}"/>
    <hyperlink ref="F1509" r:id="rId1766" xr:uid="{00000000-0004-0000-0300-0000E5060000}"/>
    <hyperlink ref="G1509" r:id="rId1767" xr:uid="{00000000-0004-0000-0300-0000E6060000}"/>
    <hyperlink ref="S1509" r:id="rId1768" xr:uid="{00000000-0004-0000-0300-0000E7060000}"/>
    <hyperlink ref="F1510" r:id="rId1769" xr:uid="{00000000-0004-0000-0300-0000E8060000}"/>
    <hyperlink ref="G1510" r:id="rId1770" xr:uid="{00000000-0004-0000-0300-0000E9060000}"/>
    <hyperlink ref="F1511" r:id="rId1771" xr:uid="{00000000-0004-0000-0300-0000EA060000}"/>
    <hyperlink ref="G1511" r:id="rId1772" xr:uid="{00000000-0004-0000-0300-0000EB060000}"/>
    <hyperlink ref="F1514" r:id="rId1773" xr:uid="{00000000-0004-0000-0300-0000EC060000}"/>
    <hyperlink ref="F1515" r:id="rId1774" xr:uid="{00000000-0004-0000-0300-0000ED060000}"/>
    <hyperlink ref="G1515" r:id="rId1775" xr:uid="{00000000-0004-0000-0300-0000EE060000}"/>
    <hyperlink ref="G1516" r:id="rId1776" xr:uid="{00000000-0004-0000-0300-0000EF060000}"/>
    <hyperlink ref="F1517" r:id="rId1777" xr:uid="{00000000-0004-0000-0300-0000F0060000}"/>
    <hyperlink ref="G1517" r:id="rId1778" xr:uid="{00000000-0004-0000-0300-0000F1060000}"/>
    <hyperlink ref="S1517" r:id="rId1779" xr:uid="{00000000-0004-0000-0300-0000F2060000}"/>
    <hyperlink ref="S1518" r:id="rId1780" xr:uid="{00000000-0004-0000-0300-0000F3060000}"/>
    <hyperlink ref="F1520" r:id="rId1781" xr:uid="{00000000-0004-0000-0300-0000F4060000}"/>
    <hyperlink ref="G1520" r:id="rId1782" xr:uid="{00000000-0004-0000-0300-0000F5060000}"/>
    <hyperlink ref="S1520" r:id="rId1783" xr:uid="{00000000-0004-0000-0300-0000F6060000}"/>
    <hyperlink ref="S1521" r:id="rId1784" xr:uid="{00000000-0004-0000-0300-0000F7060000}"/>
    <hyperlink ref="F1522" r:id="rId1785" xr:uid="{00000000-0004-0000-0300-0000F8060000}"/>
    <hyperlink ref="G1523" r:id="rId1786" xr:uid="{00000000-0004-0000-0300-0000F9060000}"/>
    <hyperlink ref="G1528" r:id="rId1787" xr:uid="{00000000-0004-0000-0300-0000FA060000}"/>
    <hyperlink ref="F1529" r:id="rId1788" xr:uid="{00000000-0004-0000-0300-0000FB060000}"/>
    <hyperlink ref="G1530" r:id="rId1789" xr:uid="{00000000-0004-0000-0300-0000FC060000}"/>
    <hyperlink ref="S1531" r:id="rId1790" xr:uid="{00000000-0004-0000-0300-0000FD060000}"/>
    <hyperlink ref="S1532" r:id="rId1791" xr:uid="{00000000-0004-0000-0300-0000FE060000}"/>
    <hyperlink ref="S1534" r:id="rId1792" xr:uid="{00000000-0004-0000-0300-0000FF060000}"/>
    <hyperlink ref="G1536" r:id="rId1793" xr:uid="{00000000-0004-0000-0300-000000070000}"/>
    <hyperlink ref="S1537" r:id="rId1794" xr:uid="{00000000-0004-0000-0300-000001070000}"/>
    <hyperlink ref="F1538" r:id="rId1795" xr:uid="{00000000-0004-0000-0300-000002070000}"/>
    <hyperlink ref="G1538" r:id="rId1796" xr:uid="{00000000-0004-0000-0300-000003070000}"/>
    <hyperlink ref="G1539" r:id="rId1797" xr:uid="{00000000-0004-0000-0300-000004070000}"/>
    <hyperlink ref="G1540" r:id="rId1798" xr:uid="{00000000-0004-0000-0300-000005070000}"/>
    <hyperlink ref="S1541" r:id="rId1799" xr:uid="{00000000-0004-0000-0300-000006070000}"/>
    <hyperlink ref="S1542" r:id="rId1800" xr:uid="{00000000-0004-0000-0300-000007070000}"/>
    <hyperlink ref="S1543" r:id="rId1801" xr:uid="{00000000-0004-0000-0300-000008070000}"/>
    <hyperlink ref="F1544" r:id="rId1802" xr:uid="{00000000-0004-0000-0300-000009070000}"/>
    <hyperlink ref="S1544" r:id="rId1803" xr:uid="{00000000-0004-0000-0300-00000A070000}"/>
    <hyperlink ref="S1545" r:id="rId1804" xr:uid="{00000000-0004-0000-0300-00000B070000}"/>
    <hyperlink ref="F1546" r:id="rId1805" xr:uid="{00000000-0004-0000-0300-00000C070000}"/>
    <hyperlink ref="G1546" r:id="rId1806" xr:uid="{00000000-0004-0000-0300-00000D070000}"/>
    <hyperlink ref="C1547" r:id="rId1807" xr:uid="{00000000-0004-0000-0300-00000E070000}"/>
    <hyperlink ref="F1547" r:id="rId1808" xr:uid="{00000000-0004-0000-0300-00000F070000}"/>
    <hyperlink ref="G1547" r:id="rId1809" xr:uid="{00000000-0004-0000-0300-000010070000}"/>
    <hyperlink ref="S1547" r:id="rId1810" xr:uid="{00000000-0004-0000-0300-000011070000}"/>
    <hyperlink ref="G1548" r:id="rId1811" xr:uid="{00000000-0004-0000-0300-000012070000}"/>
    <hyperlink ref="G1549" r:id="rId1812" xr:uid="{00000000-0004-0000-0300-000013070000}"/>
    <hyperlink ref="S1549" r:id="rId1813" xr:uid="{00000000-0004-0000-0300-000014070000}"/>
    <hyperlink ref="S1550" r:id="rId1814" xr:uid="{00000000-0004-0000-0300-000015070000}"/>
    <hyperlink ref="S1551" r:id="rId1815" xr:uid="{00000000-0004-0000-0300-000016070000}"/>
    <hyperlink ref="S1553" r:id="rId1816" xr:uid="{00000000-0004-0000-0300-000017070000}"/>
    <hyperlink ref="G1554" r:id="rId1817" xr:uid="{00000000-0004-0000-0300-000018070000}"/>
    <hyperlink ref="G1556" r:id="rId1818" xr:uid="{00000000-0004-0000-0300-000019070000}"/>
    <hyperlink ref="F1557" r:id="rId1819" xr:uid="{00000000-0004-0000-0300-00001A070000}"/>
    <hyperlink ref="S1558" r:id="rId1820" xr:uid="{00000000-0004-0000-0300-00001B070000}"/>
    <hyperlink ref="F1559" r:id="rId1821" xr:uid="{00000000-0004-0000-0300-00001C070000}"/>
    <hyperlink ref="G1559" r:id="rId1822" xr:uid="{00000000-0004-0000-0300-00001D070000}"/>
    <hyperlink ref="F1560" r:id="rId1823" xr:uid="{00000000-0004-0000-0300-00001E070000}"/>
    <hyperlink ref="F1561" r:id="rId1824" xr:uid="{00000000-0004-0000-0300-00001F070000}"/>
    <hyperlink ref="S1561" r:id="rId1825" xr:uid="{00000000-0004-0000-0300-000020070000}"/>
    <hyperlink ref="F1562" r:id="rId1826" xr:uid="{00000000-0004-0000-0300-000021070000}"/>
    <hyperlink ref="G1563" r:id="rId1827" xr:uid="{00000000-0004-0000-0300-000022070000}"/>
    <hyperlink ref="S1564" r:id="rId1828" xr:uid="{00000000-0004-0000-0300-000023070000}"/>
    <hyperlink ref="S1565" r:id="rId1829" xr:uid="{00000000-0004-0000-0300-000024070000}"/>
    <hyperlink ref="G1566" r:id="rId1830" xr:uid="{00000000-0004-0000-0300-000025070000}"/>
    <hyperlink ref="F1567" r:id="rId1831" xr:uid="{00000000-0004-0000-0300-000026070000}"/>
    <hyperlink ref="G1567" r:id="rId1832" xr:uid="{00000000-0004-0000-0300-000027070000}"/>
    <hyperlink ref="S1567" r:id="rId1833" xr:uid="{00000000-0004-0000-0300-000028070000}"/>
    <hyperlink ref="F1568" r:id="rId1834" xr:uid="{00000000-0004-0000-0300-000029070000}"/>
    <hyperlink ref="G1568" r:id="rId1835" xr:uid="{00000000-0004-0000-0300-00002A070000}"/>
    <hyperlink ref="S1568" r:id="rId1836" xr:uid="{00000000-0004-0000-0300-00002B070000}"/>
    <hyperlink ref="F1569" r:id="rId1837" xr:uid="{00000000-0004-0000-0300-00002C070000}"/>
    <hyperlink ref="S1569" r:id="rId1838" xr:uid="{00000000-0004-0000-0300-00002D070000}"/>
    <hyperlink ref="G1570" r:id="rId1839" xr:uid="{00000000-0004-0000-0300-00002E070000}"/>
    <hyperlink ref="F1572" r:id="rId1840" xr:uid="{00000000-0004-0000-0300-00002F070000}"/>
    <hyperlink ref="F1573" r:id="rId1841" xr:uid="{00000000-0004-0000-0300-000030070000}"/>
    <hyperlink ref="F1574" r:id="rId1842" xr:uid="{00000000-0004-0000-0300-000031070000}"/>
    <hyperlink ref="F1575" r:id="rId1843" xr:uid="{00000000-0004-0000-0300-000032070000}"/>
    <hyperlink ref="G1575" r:id="rId1844" xr:uid="{00000000-0004-0000-0300-000033070000}"/>
    <hyperlink ref="S1575" r:id="rId1845" xr:uid="{00000000-0004-0000-0300-000034070000}"/>
    <hyperlink ref="S1576" r:id="rId1846" xr:uid="{00000000-0004-0000-0300-000035070000}"/>
    <hyperlink ref="S1577" r:id="rId1847" xr:uid="{00000000-0004-0000-0300-000036070000}"/>
    <hyperlink ref="G1578" r:id="rId1848" xr:uid="{00000000-0004-0000-0300-000037070000}"/>
    <hyperlink ref="S1578" r:id="rId1849" xr:uid="{00000000-0004-0000-0300-000038070000}"/>
    <hyperlink ref="S1579" r:id="rId1850" xr:uid="{00000000-0004-0000-0300-000039070000}"/>
    <hyperlink ref="G1580" r:id="rId1851" xr:uid="{00000000-0004-0000-0300-00003A070000}"/>
    <hyperlink ref="S1580" r:id="rId1852" xr:uid="{00000000-0004-0000-0300-00003B070000}"/>
    <hyperlink ref="F1582" r:id="rId1853" xr:uid="{00000000-0004-0000-0300-00003C070000}"/>
    <hyperlink ref="S1585" r:id="rId1854" xr:uid="{00000000-0004-0000-0300-00003D070000}"/>
    <hyperlink ref="S1586" r:id="rId1855" xr:uid="{00000000-0004-0000-0300-00003E070000}"/>
    <hyperlink ref="F1587" r:id="rId1856" xr:uid="{00000000-0004-0000-0300-00003F070000}"/>
    <hyperlink ref="G1588" r:id="rId1857" xr:uid="{00000000-0004-0000-0300-000040070000}"/>
    <hyperlink ref="G1589" r:id="rId1858" xr:uid="{00000000-0004-0000-0300-000041070000}"/>
    <hyperlink ref="S1589" r:id="rId1859" xr:uid="{00000000-0004-0000-0300-000042070000}"/>
    <hyperlink ref="F1590" r:id="rId1860" xr:uid="{00000000-0004-0000-0300-000043070000}"/>
    <hyperlink ref="S1590" r:id="rId1861" xr:uid="{00000000-0004-0000-0300-000044070000}"/>
    <hyperlink ref="F1592" r:id="rId1862" xr:uid="{00000000-0004-0000-0300-000045070000}"/>
    <hyperlink ref="S1592" r:id="rId1863" xr:uid="{00000000-0004-0000-0300-000046070000}"/>
    <hyperlink ref="G1593" r:id="rId1864" xr:uid="{00000000-0004-0000-0300-000047070000}"/>
    <hyperlink ref="S1593" r:id="rId1865" xr:uid="{00000000-0004-0000-0300-000048070000}"/>
    <hyperlink ref="S1594" r:id="rId1866" xr:uid="{00000000-0004-0000-0300-000049070000}"/>
    <hyperlink ref="S1595" r:id="rId1867" xr:uid="{00000000-0004-0000-0300-00004A070000}"/>
    <hyperlink ref="F1596" r:id="rId1868" xr:uid="{00000000-0004-0000-0300-00004B070000}"/>
    <hyperlink ref="F1597" r:id="rId1869" xr:uid="{00000000-0004-0000-0300-00004C070000}"/>
    <hyperlink ref="S1597" r:id="rId1870" xr:uid="{00000000-0004-0000-0300-00004D070000}"/>
    <hyperlink ref="G1598" r:id="rId1871" xr:uid="{00000000-0004-0000-0300-00004E070000}"/>
    <hyperlink ref="S1598" r:id="rId1872" xr:uid="{00000000-0004-0000-0300-00004F070000}"/>
    <hyperlink ref="F1599" r:id="rId1873" xr:uid="{00000000-0004-0000-0300-000050070000}"/>
    <hyperlink ref="S1599" r:id="rId1874" xr:uid="{00000000-0004-0000-0300-000051070000}"/>
    <hyperlink ref="F1600" r:id="rId1875" xr:uid="{00000000-0004-0000-0300-000052070000}"/>
    <hyperlink ref="F1601" r:id="rId1876" xr:uid="{00000000-0004-0000-0300-000053070000}"/>
    <hyperlink ref="S1601" r:id="rId1877" xr:uid="{00000000-0004-0000-0300-000054070000}"/>
    <hyperlink ref="G1603" r:id="rId1878" xr:uid="{00000000-0004-0000-0300-000055070000}"/>
    <hyperlink ref="F1604" r:id="rId1879" xr:uid="{00000000-0004-0000-0300-000056070000}"/>
    <hyperlink ref="S1604" r:id="rId1880" xr:uid="{00000000-0004-0000-0300-000057070000}"/>
    <hyperlink ref="F1605" r:id="rId1881" xr:uid="{00000000-0004-0000-0300-000058070000}"/>
    <hyperlink ref="G1605" r:id="rId1882" xr:uid="{00000000-0004-0000-0300-000059070000}"/>
    <hyperlink ref="F1606" r:id="rId1883" xr:uid="{00000000-0004-0000-0300-00005A070000}"/>
    <hyperlink ref="S1607" r:id="rId1884" xr:uid="{00000000-0004-0000-0300-00005B070000}"/>
    <hyperlink ref="S1608" r:id="rId1885" xr:uid="{00000000-0004-0000-0300-00005C070000}"/>
    <hyperlink ref="F1609" r:id="rId1886" xr:uid="{00000000-0004-0000-0300-00005D070000}"/>
    <hyperlink ref="G1609" r:id="rId1887" xr:uid="{00000000-0004-0000-0300-00005E070000}"/>
    <hyperlink ref="S1609" r:id="rId1888" xr:uid="{00000000-0004-0000-0300-00005F070000}"/>
    <hyperlink ref="S1610" r:id="rId1889" xr:uid="{00000000-0004-0000-0300-000060070000}"/>
    <hyperlink ref="S1611" r:id="rId1890" xr:uid="{00000000-0004-0000-0300-000061070000}"/>
    <hyperlink ref="F1612" r:id="rId1891" xr:uid="{00000000-0004-0000-0300-000062070000}"/>
    <hyperlink ref="S1612" r:id="rId1892" xr:uid="{00000000-0004-0000-0300-000063070000}"/>
    <hyperlink ref="S1613" r:id="rId1893" xr:uid="{00000000-0004-0000-0300-000064070000}"/>
    <hyperlink ref="S1614" r:id="rId1894" xr:uid="{00000000-0004-0000-0300-000065070000}"/>
    <hyperlink ref="F1616" r:id="rId1895" xr:uid="{00000000-0004-0000-0300-000066070000}"/>
    <hyperlink ref="S1618" r:id="rId1896" xr:uid="{00000000-0004-0000-0300-000067070000}"/>
    <hyperlink ref="S1619" r:id="rId1897" xr:uid="{00000000-0004-0000-0300-000068070000}"/>
    <hyperlink ref="S1620" r:id="rId1898" xr:uid="{00000000-0004-0000-0300-000069070000}"/>
    <hyperlink ref="S1621" r:id="rId1899" xr:uid="{00000000-0004-0000-0300-00006A070000}"/>
    <hyperlink ref="S1623" r:id="rId1900" xr:uid="{00000000-0004-0000-0300-00006B070000}"/>
    <hyperlink ref="S1624" r:id="rId1901" xr:uid="{00000000-0004-0000-0300-00006C070000}"/>
    <hyperlink ref="S1625" r:id="rId1902" xr:uid="{00000000-0004-0000-0300-00006D070000}"/>
    <hyperlink ref="S1626" r:id="rId1903" xr:uid="{00000000-0004-0000-0300-00006E070000}"/>
    <hyperlink ref="G1627" r:id="rId1904" xr:uid="{00000000-0004-0000-0300-00006F070000}"/>
    <hyperlink ref="S1629" r:id="rId1905" xr:uid="{00000000-0004-0000-0300-000070070000}"/>
    <hyperlink ref="S1630" r:id="rId1906" xr:uid="{00000000-0004-0000-0300-000071070000}"/>
    <hyperlink ref="F1631" r:id="rId1907" xr:uid="{00000000-0004-0000-0300-000072070000}"/>
    <hyperlink ref="G1632" r:id="rId1908" xr:uid="{00000000-0004-0000-0300-000073070000}"/>
    <hyperlink ref="F1633" r:id="rId1909" xr:uid="{00000000-0004-0000-0300-000074070000}"/>
    <hyperlink ref="S1633" r:id="rId1910" xr:uid="{00000000-0004-0000-0300-000075070000}"/>
    <hyperlink ref="F1634" r:id="rId1911" xr:uid="{00000000-0004-0000-0300-000076070000}"/>
    <hyperlink ref="S1635" r:id="rId1912" xr:uid="{00000000-0004-0000-0300-000077070000}"/>
    <hyperlink ref="S1636" r:id="rId1913" xr:uid="{00000000-0004-0000-0300-000078070000}"/>
    <hyperlink ref="F1637" r:id="rId1914" xr:uid="{00000000-0004-0000-0300-000079070000}"/>
    <hyperlink ref="G1639" r:id="rId1915" xr:uid="{00000000-0004-0000-0300-00007A070000}"/>
    <hyperlink ref="F1640" r:id="rId1916" xr:uid="{00000000-0004-0000-0300-00007B070000}"/>
    <hyperlink ref="S1640" r:id="rId1917" xr:uid="{00000000-0004-0000-0300-00007C070000}"/>
    <hyperlink ref="G1641" r:id="rId1918" xr:uid="{00000000-0004-0000-0300-00007D070000}"/>
    <hyperlink ref="S1641" r:id="rId1919" xr:uid="{00000000-0004-0000-0300-00007E070000}"/>
    <hyperlink ref="F1642" r:id="rId1920" xr:uid="{00000000-0004-0000-0300-00007F070000}"/>
    <hyperlink ref="F1643" r:id="rId1921" xr:uid="{00000000-0004-0000-0300-000080070000}"/>
    <hyperlink ref="G1643" r:id="rId1922" xr:uid="{00000000-0004-0000-0300-000081070000}"/>
    <hyperlink ref="S1644" r:id="rId1923" xr:uid="{00000000-0004-0000-0300-000082070000}"/>
    <hyperlink ref="G1645" r:id="rId1924" xr:uid="{00000000-0004-0000-0300-000083070000}"/>
    <hyperlink ref="S1645" r:id="rId1925" xr:uid="{00000000-0004-0000-0300-000084070000}"/>
    <hyperlink ref="G1646" r:id="rId1926" xr:uid="{00000000-0004-0000-0300-000085070000}"/>
    <hyperlink ref="F1647" r:id="rId1927" xr:uid="{00000000-0004-0000-0300-000086070000}"/>
    <hyperlink ref="F1649" r:id="rId1928" xr:uid="{00000000-0004-0000-0300-000087070000}"/>
    <hyperlink ref="S1650" r:id="rId1929" xr:uid="{00000000-0004-0000-0300-000088070000}"/>
    <hyperlink ref="S1651" r:id="rId1930" xr:uid="{00000000-0004-0000-0300-000089070000}"/>
    <hyperlink ref="F1653" r:id="rId1931" xr:uid="{00000000-0004-0000-0300-00008A070000}"/>
    <hyperlink ref="S1653" r:id="rId1932" xr:uid="{00000000-0004-0000-0300-00008B070000}"/>
    <hyperlink ref="F1655" r:id="rId1933" xr:uid="{00000000-0004-0000-0300-00008C070000}"/>
    <hyperlink ref="G1655" r:id="rId1934" xr:uid="{00000000-0004-0000-0300-00008D070000}"/>
    <hyperlink ref="C1656" r:id="rId1935" xr:uid="{00000000-0004-0000-0300-00008E070000}"/>
    <hyperlink ref="F1656" r:id="rId1936" xr:uid="{00000000-0004-0000-0300-00008F070000}"/>
    <hyperlink ref="G1656" r:id="rId1937" xr:uid="{00000000-0004-0000-0300-000090070000}"/>
    <hyperlink ref="S1656" r:id="rId1938" xr:uid="{00000000-0004-0000-0300-000091070000}"/>
    <hyperlink ref="F1657" r:id="rId1939" xr:uid="{00000000-0004-0000-0300-000092070000}"/>
    <hyperlink ref="G1658" r:id="rId1940" xr:uid="{00000000-0004-0000-0300-000093070000}"/>
    <hyperlink ref="F1659" r:id="rId1941" xr:uid="{00000000-0004-0000-0300-000094070000}"/>
    <hyperlink ref="G1660" r:id="rId1942" xr:uid="{00000000-0004-0000-0300-000095070000}"/>
    <hyperlink ref="S1660" r:id="rId1943" xr:uid="{00000000-0004-0000-0300-000096070000}"/>
    <hyperlink ref="G1661" r:id="rId1944" xr:uid="{00000000-0004-0000-0300-000097070000}"/>
    <hyperlink ref="S1661" r:id="rId1945" xr:uid="{00000000-0004-0000-0300-000098070000}"/>
    <hyperlink ref="F1662" r:id="rId1946" xr:uid="{00000000-0004-0000-0300-000099070000}"/>
    <hyperlink ref="F1663" r:id="rId1947" xr:uid="{00000000-0004-0000-0300-00009A070000}"/>
    <hyperlink ref="G1664" r:id="rId1948" xr:uid="{00000000-0004-0000-0300-00009B070000}"/>
    <hyperlink ref="S1665" r:id="rId1949" xr:uid="{00000000-0004-0000-0300-00009C070000}"/>
    <hyperlink ref="S1666" r:id="rId1950" xr:uid="{00000000-0004-0000-0300-00009D070000}"/>
    <hyperlink ref="G1668" r:id="rId1951" xr:uid="{00000000-0004-0000-0300-00009E070000}"/>
    <hyperlink ref="F1669" r:id="rId1952" xr:uid="{00000000-0004-0000-0300-00009F070000}"/>
    <hyperlink ref="G1669" r:id="rId1953" xr:uid="{00000000-0004-0000-0300-0000A0070000}"/>
    <hyperlink ref="G1670" r:id="rId1954" xr:uid="{00000000-0004-0000-0300-0000A1070000}"/>
    <hyperlink ref="F1672" r:id="rId1955" xr:uid="{00000000-0004-0000-0300-0000A2070000}"/>
    <hyperlink ref="S1672" r:id="rId1956" xr:uid="{00000000-0004-0000-0300-0000A3070000}"/>
    <hyperlink ref="G1673" r:id="rId1957" xr:uid="{00000000-0004-0000-0300-0000A4070000}"/>
    <hyperlink ref="G1675" r:id="rId1958" xr:uid="{00000000-0004-0000-0300-0000A5070000}"/>
    <hyperlink ref="S1675" r:id="rId1959" xr:uid="{00000000-0004-0000-0300-0000A6070000}"/>
    <hyperlink ref="G1676" r:id="rId1960" xr:uid="{00000000-0004-0000-0300-0000A7070000}"/>
    <hyperlink ref="S1677" r:id="rId1961" xr:uid="{00000000-0004-0000-0300-0000A8070000}"/>
    <hyperlink ref="G1678" r:id="rId1962" xr:uid="{00000000-0004-0000-0300-0000A9070000}"/>
    <hyperlink ref="F1680" r:id="rId1963" xr:uid="{00000000-0004-0000-0300-0000AA070000}"/>
    <hyperlink ref="S1682" r:id="rId1964" xr:uid="{00000000-0004-0000-0300-0000AB070000}"/>
    <hyperlink ref="S1684" r:id="rId1965" xr:uid="{00000000-0004-0000-0300-0000AC070000}"/>
    <hyperlink ref="G1685" r:id="rId1966" xr:uid="{00000000-0004-0000-0300-0000AD070000}"/>
    <hyperlink ref="S1686" r:id="rId1967" xr:uid="{00000000-0004-0000-0300-0000AE070000}"/>
    <hyperlink ref="F1687" r:id="rId1968" xr:uid="{00000000-0004-0000-0300-0000AF070000}"/>
    <hyperlink ref="G1687" r:id="rId1969" xr:uid="{00000000-0004-0000-0300-0000B0070000}"/>
    <hyperlink ref="G1688" r:id="rId1970" xr:uid="{00000000-0004-0000-0300-0000B1070000}"/>
    <hyperlink ref="S1689" r:id="rId1971" xr:uid="{00000000-0004-0000-0300-0000B2070000}"/>
    <hyperlink ref="F1690" r:id="rId1972" xr:uid="{00000000-0004-0000-0300-0000B3070000}"/>
    <hyperlink ref="F1691" r:id="rId1973" xr:uid="{00000000-0004-0000-0300-0000B4070000}"/>
    <hyperlink ref="F1692" r:id="rId1974" xr:uid="{00000000-0004-0000-0300-0000B5070000}"/>
    <hyperlink ref="G1692" r:id="rId1975" xr:uid="{00000000-0004-0000-0300-0000B6070000}"/>
    <hyperlink ref="S1693" r:id="rId1976" xr:uid="{00000000-0004-0000-0300-0000B7070000}"/>
    <hyperlink ref="F1695" r:id="rId1977" xr:uid="{00000000-0004-0000-0300-0000B8070000}"/>
    <hyperlink ref="S1696" r:id="rId1978" xr:uid="{00000000-0004-0000-0300-0000B9070000}"/>
    <hyperlink ref="S1697" r:id="rId1979" xr:uid="{00000000-0004-0000-0300-0000BA070000}"/>
    <hyperlink ref="S1698" r:id="rId1980" xr:uid="{00000000-0004-0000-0300-0000BB070000}"/>
    <hyperlink ref="S1699" r:id="rId1981" xr:uid="{00000000-0004-0000-0300-0000BC070000}"/>
    <hyperlink ref="G1700" r:id="rId1982" xr:uid="{00000000-0004-0000-0300-0000BD070000}"/>
    <hyperlink ref="G1703" r:id="rId1983" xr:uid="{00000000-0004-0000-0300-0000BE070000}"/>
    <hyperlink ref="S1703" r:id="rId1984" xr:uid="{00000000-0004-0000-0300-0000BF070000}"/>
    <hyperlink ref="F1704" r:id="rId1985" xr:uid="{00000000-0004-0000-0300-0000C0070000}"/>
    <hyperlink ref="F1707" r:id="rId1986" xr:uid="{00000000-0004-0000-0300-0000C1070000}"/>
    <hyperlink ref="F1708" r:id="rId1987" xr:uid="{00000000-0004-0000-0300-0000C2070000}"/>
    <hyperlink ref="G1708" r:id="rId1988" xr:uid="{00000000-0004-0000-0300-0000C3070000}"/>
    <hyperlink ref="S1708" r:id="rId1989" xr:uid="{00000000-0004-0000-0300-0000C4070000}"/>
    <hyperlink ref="F1712" r:id="rId1990" xr:uid="{00000000-0004-0000-0300-0000C5070000}"/>
    <hyperlink ref="S1712" r:id="rId1991" xr:uid="{00000000-0004-0000-0300-0000C6070000}"/>
    <hyperlink ref="S1713" r:id="rId1992" xr:uid="{00000000-0004-0000-0300-0000C7070000}"/>
    <hyperlink ref="S1714" r:id="rId1993" xr:uid="{00000000-0004-0000-0300-0000C8070000}"/>
    <hyperlink ref="S1715" r:id="rId1994" xr:uid="{00000000-0004-0000-0300-0000C9070000}"/>
    <hyperlink ref="G1717" r:id="rId1995" xr:uid="{00000000-0004-0000-0300-0000CA070000}"/>
    <hyperlink ref="S1717" r:id="rId1996" xr:uid="{00000000-0004-0000-0300-0000CB070000}"/>
    <hyperlink ref="F1719" r:id="rId1997" location="ns_campaign=amp-rrss-inducido&amp;ns_mchannel=abc-es&amp;ns_source=tw&amp;ns_linkname=noticia.foto&amp;ns_fee=0" xr:uid="{00000000-0004-0000-0300-0000CC070000}"/>
    <hyperlink ref="G1721" r:id="rId1998" xr:uid="{00000000-0004-0000-0300-0000CD070000}"/>
    <hyperlink ref="S1721" r:id="rId1999" xr:uid="{00000000-0004-0000-0300-0000CE070000}"/>
    <hyperlink ref="F1722" r:id="rId2000" xr:uid="{00000000-0004-0000-0300-0000CF070000}"/>
    <hyperlink ref="S1722" r:id="rId2001" xr:uid="{00000000-0004-0000-0300-0000D0070000}"/>
    <hyperlink ref="S1723" r:id="rId2002" xr:uid="{00000000-0004-0000-0300-0000D1070000}"/>
    <hyperlink ref="S1724" r:id="rId2003" xr:uid="{00000000-0004-0000-0300-0000D2070000}"/>
    <hyperlink ref="S1726" r:id="rId2004" xr:uid="{00000000-0004-0000-0300-0000D3070000}"/>
    <hyperlink ref="G1727" r:id="rId2005" xr:uid="{00000000-0004-0000-0300-0000D4070000}"/>
    <hyperlink ref="S1727" r:id="rId2006" xr:uid="{00000000-0004-0000-0300-0000D5070000}"/>
    <hyperlink ref="G1728" r:id="rId2007" xr:uid="{00000000-0004-0000-0300-0000D6070000}"/>
    <hyperlink ref="S1728" r:id="rId2008" xr:uid="{00000000-0004-0000-0300-0000D7070000}"/>
    <hyperlink ref="F1729" r:id="rId2009" xr:uid="{00000000-0004-0000-0300-0000D8070000}"/>
    <hyperlink ref="F1730" r:id="rId2010" xr:uid="{00000000-0004-0000-0300-0000D9070000}"/>
    <hyperlink ref="S1730" r:id="rId2011" xr:uid="{00000000-0004-0000-0300-0000DA070000}"/>
    <hyperlink ref="F1731" r:id="rId2012" xr:uid="{00000000-0004-0000-0300-0000DB070000}"/>
    <hyperlink ref="S1731" r:id="rId2013" xr:uid="{00000000-0004-0000-0300-0000DC070000}"/>
    <hyperlink ref="S1733" r:id="rId2014" xr:uid="{00000000-0004-0000-0300-0000DD070000}"/>
    <hyperlink ref="S1734" r:id="rId2015" xr:uid="{00000000-0004-0000-0300-0000DE070000}"/>
    <hyperlink ref="F1735" r:id="rId2016" xr:uid="{00000000-0004-0000-0300-0000DF070000}"/>
    <hyperlink ref="S1735" r:id="rId2017" xr:uid="{00000000-0004-0000-0300-0000E0070000}"/>
    <hyperlink ref="S1738" r:id="rId2018" xr:uid="{00000000-0004-0000-0300-0000E1070000}"/>
    <hyperlink ref="S1739" r:id="rId2019" xr:uid="{00000000-0004-0000-0300-0000E2070000}"/>
    <hyperlink ref="G1742" r:id="rId2020" xr:uid="{00000000-0004-0000-0300-0000E3070000}"/>
    <hyperlink ref="S1742" r:id="rId2021" xr:uid="{00000000-0004-0000-0300-0000E4070000}"/>
    <hyperlink ref="F1744" r:id="rId2022" xr:uid="{00000000-0004-0000-0300-0000E5070000}"/>
    <hyperlink ref="G1744" r:id="rId2023" xr:uid="{00000000-0004-0000-0300-0000E6070000}"/>
    <hyperlink ref="G1745" r:id="rId2024" xr:uid="{00000000-0004-0000-0300-0000E7070000}"/>
    <hyperlink ref="S1745" r:id="rId2025" xr:uid="{00000000-0004-0000-0300-0000E8070000}"/>
    <hyperlink ref="G1747" r:id="rId2026" xr:uid="{00000000-0004-0000-0300-0000E9070000}"/>
    <hyperlink ref="S1747" r:id="rId2027" xr:uid="{00000000-0004-0000-0300-0000EA070000}"/>
    <hyperlink ref="F1748" r:id="rId2028" xr:uid="{00000000-0004-0000-0300-0000EB070000}"/>
    <hyperlink ref="G1748" r:id="rId2029" xr:uid="{00000000-0004-0000-0300-0000EC070000}"/>
    <hyperlink ref="S1748" r:id="rId2030" xr:uid="{00000000-0004-0000-0300-0000ED070000}"/>
    <hyperlink ref="G1751" r:id="rId2031" xr:uid="{00000000-0004-0000-0300-0000EE070000}"/>
    <hyperlink ref="S1751" r:id="rId2032" xr:uid="{00000000-0004-0000-0300-0000EF070000}"/>
    <hyperlink ref="F1752" r:id="rId2033" xr:uid="{00000000-0004-0000-0300-0000F0070000}"/>
    <hyperlink ref="G1753" r:id="rId2034" xr:uid="{00000000-0004-0000-0300-0000F1070000}"/>
    <hyperlink ref="S1754" r:id="rId2035" xr:uid="{00000000-0004-0000-0300-0000F2070000}"/>
    <hyperlink ref="G1755" r:id="rId2036" xr:uid="{00000000-0004-0000-0300-0000F3070000}"/>
    <hyperlink ref="S1755" r:id="rId2037" xr:uid="{00000000-0004-0000-0300-0000F4070000}"/>
    <hyperlink ref="F1756" r:id="rId2038" xr:uid="{00000000-0004-0000-0300-0000F5070000}"/>
    <hyperlink ref="G1756" r:id="rId2039" xr:uid="{00000000-0004-0000-0300-0000F6070000}"/>
    <hyperlink ref="S1756" r:id="rId2040" xr:uid="{00000000-0004-0000-0300-0000F7070000}"/>
    <hyperlink ref="F1760" r:id="rId2041" xr:uid="{00000000-0004-0000-0300-0000F8070000}"/>
    <hyperlink ref="G1760" r:id="rId2042" xr:uid="{00000000-0004-0000-0300-0000F9070000}"/>
    <hyperlink ref="G1761" r:id="rId2043" xr:uid="{00000000-0004-0000-0300-0000FA070000}"/>
    <hyperlink ref="S1762" r:id="rId2044" xr:uid="{00000000-0004-0000-0300-0000FB070000}"/>
    <hyperlink ref="F1763" r:id="rId2045" xr:uid="{00000000-0004-0000-0300-0000FC070000}"/>
    <hyperlink ref="G1764" r:id="rId2046" xr:uid="{00000000-0004-0000-0300-0000FD070000}"/>
    <hyperlink ref="F1766" r:id="rId2047" xr:uid="{00000000-0004-0000-0300-0000FE070000}"/>
    <hyperlink ref="S1766" r:id="rId2048" xr:uid="{00000000-0004-0000-0300-0000FF070000}"/>
    <hyperlink ref="F1767" r:id="rId2049" xr:uid="{00000000-0004-0000-0300-000000080000}"/>
    <hyperlink ref="G1767" r:id="rId2050" xr:uid="{00000000-0004-0000-0300-000001080000}"/>
    <hyperlink ref="G1768" r:id="rId2051" xr:uid="{00000000-0004-0000-0300-000002080000}"/>
    <hyperlink ref="F1769" r:id="rId2052" xr:uid="{00000000-0004-0000-0300-000003080000}"/>
    <hyperlink ref="G1770" r:id="rId2053" xr:uid="{00000000-0004-0000-0300-000004080000}"/>
    <hyperlink ref="G1771" r:id="rId2054" xr:uid="{00000000-0004-0000-0300-000005080000}"/>
    <hyperlink ref="F1772" r:id="rId2055" xr:uid="{00000000-0004-0000-0300-000006080000}"/>
    <hyperlink ref="G1772" r:id="rId2056" xr:uid="{00000000-0004-0000-0300-000007080000}"/>
    <hyperlink ref="F1773" r:id="rId2057" xr:uid="{00000000-0004-0000-0300-000008080000}"/>
    <hyperlink ref="G1773" r:id="rId2058" xr:uid="{00000000-0004-0000-0300-000009080000}"/>
    <hyperlink ref="F1775" r:id="rId2059" xr:uid="{00000000-0004-0000-0300-00000A080000}"/>
    <hyperlink ref="S1775" r:id="rId2060" xr:uid="{00000000-0004-0000-0300-00000B080000}"/>
    <hyperlink ref="F1776" r:id="rId2061" xr:uid="{00000000-0004-0000-0300-00000C080000}"/>
    <hyperlink ref="G1776" r:id="rId2062" xr:uid="{00000000-0004-0000-0300-00000D080000}"/>
    <hyperlink ref="S1776" r:id="rId2063" xr:uid="{00000000-0004-0000-0300-00000E080000}"/>
    <hyperlink ref="F1777" r:id="rId2064" xr:uid="{00000000-0004-0000-0300-00000F080000}"/>
    <hyperlink ref="F1778" r:id="rId2065" xr:uid="{00000000-0004-0000-0300-000010080000}"/>
    <hyperlink ref="G1778" r:id="rId2066" xr:uid="{00000000-0004-0000-0300-000011080000}"/>
    <hyperlink ref="F1779" r:id="rId2067" xr:uid="{00000000-0004-0000-0300-000012080000}"/>
    <hyperlink ref="G1779" r:id="rId2068" xr:uid="{00000000-0004-0000-0300-000013080000}"/>
    <hyperlink ref="S1779" r:id="rId2069" xr:uid="{00000000-0004-0000-0300-000014080000}"/>
    <hyperlink ref="F1781" r:id="rId2070" xr:uid="{00000000-0004-0000-0300-000015080000}"/>
    <hyperlink ref="F1782" r:id="rId2071" xr:uid="{00000000-0004-0000-0300-000016080000}"/>
    <hyperlink ref="F1783" r:id="rId2072" xr:uid="{00000000-0004-0000-0300-000017080000}"/>
    <hyperlink ref="S1783" r:id="rId2073" xr:uid="{00000000-0004-0000-0300-000018080000}"/>
    <hyperlink ref="F1784" r:id="rId2074" xr:uid="{00000000-0004-0000-0300-000019080000}"/>
    <hyperlink ref="F1785" r:id="rId2075" xr:uid="{00000000-0004-0000-0300-00001A08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"Santi Abascal" langes -filterr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Cañas</cp:lastModifiedBy>
  <dcterms:modified xsi:type="dcterms:W3CDTF">2018-12-10T18:19:58Z</dcterms:modified>
</cp:coreProperties>
</file>